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1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fileSharing userName="Bruno Patrice" algorithmName="SHA-512" hashValue="XNdNNWSrO+rTtD+cj9xAPWW6dRxETheirMjQdZXklkCZOy460veqt+5PHi+xm37mzxFi+ieOxogpZjZMgGTCeg==" saltValue="r3kF6iFz1zXaUObWGMhqa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14_{2AEDB307-8E7C-4DD4-B7DF-F6D1264DDA06}" xr6:coauthVersionLast="47" xr6:coauthVersionMax="47" xr10:uidLastSave="{00000000-0000-0000-0000-000000000000}"/>
  <bookViews>
    <workbookView xWindow="28680" yWindow="-120" windowWidth="29040" windowHeight="15840" xr2:uid="{8A165283-BF19-4B3B-B455-CD1257F874EF}"/>
  </bookViews>
  <sheets>
    <sheet name="ElémentsTechniques" sheetId="1" r:id="rId1"/>
    <sheet name="Comparatif" sheetId="3" r:id="rId2"/>
    <sheet name="Visuels" sheetId="4" r:id="rId3"/>
    <sheet name="Cartes" sheetId="9" r:id="rId4"/>
    <sheet name="Contributions" sheetId="2" r:id="rId5"/>
    <sheet name="Les Variables" sheetId="7" state="hidden" r:id="rId6"/>
    <sheet name="2021" sheetId="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chart.v2.0" hidden="1">'2021'!$AK$14:$AK$15</definedName>
    <definedName name="_xlchart.v2.1" hidden="1">'2021'!$AL$14:$AL$15</definedName>
    <definedName name="ALLIANCE">[1]Antennes!$D$134</definedName>
    <definedName name="Amort">[2]Nomenclature!$E$4</definedName>
    <definedName name="Amort_extrac">[2]Nomenclature!$E$3</definedName>
    <definedName name="Annee">'[2]2 - Matrice finale'!$D$1</definedName>
    <definedName name="ARM">#REF!</definedName>
    <definedName name="ARM_1999">#REF!</definedName>
    <definedName name="ARM_2012">#REF!</definedName>
    <definedName name="Att_charge">[2]Nomenclature!$E$5</definedName>
    <definedName name="Att_produit">[2]Nomenclature!$E$6</definedName>
    <definedName name="BQEXPL">[1]Antennes!$D$100</definedName>
    <definedName name="BQFIXSITR">[1]Antennes!$D$131</definedName>
    <definedName name="BQTRAIT03">[1]Antennes!$D$113</definedName>
    <definedName name="BQTRAIT06">[1]Antennes!$D$114</definedName>
    <definedName name="BQTRAIT07">[1]Antennes!$D$115</definedName>
    <definedName name="BQTRAIT08">[1]Antennes!$D$116</definedName>
    <definedName name="BQTRAIT09">[1]Antennes!$D$117</definedName>
    <definedName name="BQTRAIT10">[1]Antennes!$D$118</definedName>
    <definedName name="BQTRAIT11">[1]Antennes!$D$119</definedName>
    <definedName name="BQTRAIT12">[1]Antennes!$D$120</definedName>
    <definedName name="BQTRAIT13">[1]Antennes!$D$121</definedName>
    <definedName name="BQTRAIT15">[1]Antennes!$D$122</definedName>
    <definedName name="BQTRAIT16">[1]Antennes!$D$123</definedName>
    <definedName name="BQTRAIT17">[1]Antennes!$D$124</definedName>
    <definedName name="BQTRAIT18">[1]Antennes!$D$125</definedName>
    <definedName name="BQTRAIT19">[1]Antennes!$D$126</definedName>
    <definedName name="BQTRANS03">[1]Antennes!$D$101</definedName>
    <definedName name="BQTRANS06">[1]Antennes!$D$102</definedName>
    <definedName name="BQTRANS07">[1]Antennes!$D$103</definedName>
    <definedName name="BQTRANS08">[1]Antennes!$D$104</definedName>
    <definedName name="BQTRANS09">[1]Antennes!$D$105</definedName>
    <definedName name="BQTRANS10">[1]Antennes!$D$106</definedName>
    <definedName name="BQTRANS11">[1]Antennes!$D$107</definedName>
    <definedName name="BQTRANS12">[1]Antennes!$D$108</definedName>
    <definedName name="BQTRANS13">[1]Antennes!$D$109</definedName>
    <definedName name="BQTRANS18">[1]Antennes!$D$110</definedName>
    <definedName name="BQTRANS19">[1]Antennes!$D$111</definedName>
    <definedName name="BQTRANSDIV">[1]Antennes!$D$112</definedName>
    <definedName name="BQVARSITR">[1]Antennes!$D$133</definedName>
    <definedName name="BRIGEPI">[1]Antennes!$D$174</definedName>
    <definedName name="BRIGMAT">[1]Antennes!$D$41</definedName>
    <definedName name="BRIGSAL">[1]Antennes!$D$39</definedName>
    <definedName name="CA_Etampois_Sud_Essonne">#REF!</definedName>
    <definedName name="CAPITAL">[1]Antennes!$D$179</definedName>
    <definedName name="CARB">[1]Antennes!$D$173</definedName>
    <definedName name="CatégoriesDépenses">[3]!SynthèseDépenses[Dépenses]</definedName>
    <definedName name="CC_Dourdannais_en_Hurepoix">#REF!</definedName>
    <definedName name="CC_Entre_Juine_et_Renarde">#REF!</definedName>
    <definedName name="CC_Pays_Limours">#REF!</definedName>
    <definedName name="CC_Val_Essonne">#REF!</definedName>
    <definedName name="CEE">[1]Antennes!$D$150</definedName>
    <definedName name="CESSIONS">[1]Antennes!$D$143</definedName>
    <definedName name="CHARGEEXC">[1]Antennes!$D$184</definedName>
    <definedName name="Charges">#REF!</definedName>
    <definedName name="ChargesHT">#REF!</definedName>
    <definedName name="CHILLY">[1]Antennes!$D$155</definedName>
    <definedName name="CITDDIV">[1]Antennes!$D$82</definedName>
    <definedName name="CITDUIOM">[1]Antennes!$D$79</definedName>
    <definedName name="CODE">'[2]4 - Codes matrice'!$A$4:$A$99</definedName>
    <definedName name="CODE_1">'[2]4 - Codes matrice'!$A$4</definedName>
    <definedName name="COLLDSTBEN">[1]Antennes!$D$60</definedName>
    <definedName name="COLLPAP01">[1]Antennes!$D$50</definedName>
    <definedName name="COLLPAP02">[1]Antennes!$D$51</definedName>
    <definedName name="COLLPAP03">[1]Antennes!$D$52</definedName>
    <definedName name="COLLPAP04">[1]Antennes!$D$53</definedName>
    <definedName name="COLLPAP08">[1]Antennes!$D$54</definedName>
    <definedName name="COLLPAPFIX">[1]Antennes!$D$49</definedName>
    <definedName name="COLLPAPSAL">[1]Antennes!$D$47</definedName>
    <definedName name="COLLPAV01">[1]Antennes!$D$44</definedName>
    <definedName name="COLLPAV02">[1]Antennes!$D$45</definedName>
    <definedName name="COLLPAV03">[1]Antennes!$D$46</definedName>
    <definedName name="COLLPAVSAL">[1]Antennes!$D$42</definedName>
    <definedName name="COLLPRESTA">[1]Antennes!$D$61</definedName>
    <definedName name="Colonnes">[2]!Tbl_Colonnes[Colonnes]</definedName>
    <definedName name="COM">#REF!</definedName>
    <definedName name="COM_1999">#REF!</definedName>
    <definedName name="COM_2012">#REF!</definedName>
    <definedName name="COM_2013">#REF!</definedName>
    <definedName name="COM_2014">#REF!</definedName>
    <definedName name="COMMAT">[1]Antennes!$D$28</definedName>
    <definedName name="COMSAL">[1]Antennes!$D$26</definedName>
    <definedName name="DECHETERIE">[1]Antennes!$D$169</definedName>
    <definedName name="DECHTIERS">[1]Antennes!$D$146</definedName>
    <definedName name="Depenses">[2]Nomenclature!$G$2:$G$7</definedName>
    <definedName name="Dotations">[1]Antennes!$D$182</definedName>
    <definedName name="DourdannaisEnHurepoix">#REF!</definedName>
    <definedName name="duree_amort">'[2]6 - Amortissements et reprises'!$F$3</definedName>
    <definedName name="ECODDS">[1]Antennes!$D$137</definedName>
    <definedName name="ECOMOB">[1]Antennes!$D$136</definedName>
    <definedName name="EMPRUNTS">[1]Antennes!$D$178</definedName>
    <definedName name="ENCOURS">[1]Antennes!$D$186</definedName>
    <definedName name="ENERGIE">[1]Antennes!$D$148</definedName>
    <definedName name="EPCI">#REF!</definedName>
    <definedName name="ESE_01">[1]Antennes!$D$73</definedName>
    <definedName name="ESE_02">[1]Antennes!$D$74</definedName>
    <definedName name="ESEBATIMEN">[1]Antennes!$D$70</definedName>
    <definedName name="ESEEPI">[1]Antennes!$D$176</definedName>
    <definedName name="ESEIMPOTS">[1]Antennes!$D$69</definedName>
    <definedName name="ESEMAINTE">[1]Antennes!$D$72</definedName>
    <definedName name="ESESAL">[1]Antennes!$D$67</definedName>
    <definedName name="ESEVEHICUL">[1]Antennes!$D$71</definedName>
    <definedName name="EtampoisSudEssonne">#REF!</definedName>
    <definedName name="FactureSansDétails">"DétailsFacture[Invoice No]"</definedName>
    <definedName name="GAINPROD">[1]Antennes!$D$145</definedName>
    <definedName name="HQACCES">[1]Antennes!$D$98</definedName>
    <definedName name="HQBATIMEN">[1]Antennes!$D$95</definedName>
    <definedName name="HQCTRLQUAL">[1]Antennes!$D$99</definedName>
    <definedName name="HQEPI">[1]Antennes!$D$177</definedName>
    <definedName name="HQFIXSITR">[1]Antennes!$D$132</definedName>
    <definedName name="HQIMPOTS">[1]Antennes!$D$97</definedName>
    <definedName name="HQSAL">[1]Antennes!$D$93</definedName>
    <definedName name="HQVEHICUL">[1]Antennes!$D$96</definedName>
    <definedName name="Incorp">[2]Nomenclature!$E$1</definedName>
    <definedName name="Interet">[2]Nomenclature!$E$10</definedName>
    <definedName name="INTERETS">[1]Antennes!$D$180</definedName>
    <definedName name="Lignes">[2]!Tbl_Charges[Charges]</definedName>
    <definedName name="Lignes_sinoe">'[2]2 - Matrice finale'!$A$5:$A$54</definedName>
    <definedName name="liste_Clés">[4]PARAM!$A$14:$A$36</definedName>
    <definedName name="liste_Produits">[4]PARAM!$A$79:$A$104</definedName>
    <definedName name="LOYESE">[1]Antennes!$D$151</definedName>
    <definedName name="MECENAT">[1]Antennes!$D$147</definedName>
    <definedName name="Minimum_trésorerie">[5]Encours!#REF!</definedName>
    <definedName name="MPS">[1]Antennes!$D$149</definedName>
    <definedName name="No_Facture">[6]!GestionMois[N° de suivi]</definedName>
    <definedName name="NomSociété">#REF!</definedName>
    <definedName name="Non_incorp">[2]Nomenclature!$E$2</definedName>
    <definedName name="OCAD3E">[1]Antennes!$D$135</definedName>
    <definedName name="plgFacture">#REF!</definedName>
    <definedName name="PRECPAP01">[1]Antennes!$D$35</definedName>
    <definedName name="PRECPAP02">[1]Antennes!$D$36</definedName>
    <definedName name="PRECPAP03">[1]Antennes!$D$37</definedName>
    <definedName name="PRECPAV01">[1]Antennes!$D$29</definedName>
    <definedName name="PRECPAV02">[1]Antennes!$D$30</definedName>
    <definedName name="PRECPAV03">[1]Antennes!$D$31</definedName>
    <definedName name="PRECPAVDEP">[1]Antennes!$D$32</definedName>
    <definedName name="PRECPAVINV">[1]Antennes!$D$34</definedName>
    <definedName name="PRECPRESTA">[1]Antennes!$D$38</definedName>
    <definedName name="PREVANIM">[1]Antennes!$D$65</definedName>
    <definedName name="PREVCOMPOS">[1]Antennes!$D$66</definedName>
    <definedName name="PREVENTION">[1]Antennes!$D$171</definedName>
    <definedName name="PREVMAT">[1]Antennes!$D$64</definedName>
    <definedName name="PREVSAL">[1]Antennes!$D$62</definedName>
    <definedName name="PROFES">[1]Antennes!$D$154</definedName>
    <definedName name="Recettes">[2]Nomenclature!$I$2:$I$6</definedName>
    <definedName name="RechercheClients">#REF!</definedName>
    <definedName name="Repart_lignes">'[2]2 - Matrice finale'!$A$54</definedName>
    <definedName name="Reprise">[2]Nomenclature!$E$8</definedName>
    <definedName name="Reprise_extrac">[2]Nomenclature!$E$7</definedName>
    <definedName name="RODP">[1]Antennes!$D$144</definedName>
    <definedName name="RSOM">[1]Antennes!$D$161</definedName>
    <definedName name="SITREVA">[1]Antennes!$D$185</definedName>
    <definedName name="STRUCPTL">[1]Antennes!$D$18</definedName>
    <definedName name="STRUELUS">[1]Antennes!$D$17</definedName>
    <definedName name="STRUFINAN">[7]Antennes!$D$25</definedName>
    <definedName name="STRUHONO">[1]Antennes!$D$24</definedName>
    <definedName name="STRUIMPOTS">[1]Antennes!$D$21</definedName>
    <definedName name="STRUINFO">[1]Antennes!$D$22</definedName>
    <definedName name="STRUMARC">[1]Antennes!$D$23</definedName>
    <definedName name="STRUSAL">[1]Antennes!$D$16</definedName>
    <definedName name="STRUSIEGE">[1]Antennes!$D$20</definedName>
    <definedName name="STRUSOC">[1]Antennes!$D$19</definedName>
    <definedName name="Supplétif">[2]Nomenclature!$E$9</definedName>
    <definedName name="Tbl_Articles">#REF!</definedName>
    <definedName name="Tbl_Déchèteries">#REF!</definedName>
    <definedName name="Tbl_ListeDecheterie">#REF!</definedName>
    <definedName name="Tbl_Mois">#REF!</definedName>
    <definedName name="TGAPCSDU06">[1]Antennes!$D$128</definedName>
    <definedName name="TGAPCSDU07">[1]Antennes!$D$129</definedName>
    <definedName name="TGAPCSDU11">[1]Antennes!$D$130</definedName>
    <definedName name="TGAPUIOM07">[1]Antennes!$D$127</definedName>
    <definedName name="TitreColonne10">[8]!DépAoû[[#Headers],[Date]]</definedName>
    <definedName name="TitreColonne11">[8]!DépSep[[#Headers],[Date]]</definedName>
    <definedName name="TitreColonne12">[8]!DépOct[[#Headers],[Date]]</definedName>
    <definedName name="TitreColonne13">[8]!DépNov[[#Headers],[Date]]</definedName>
    <definedName name="TitreColonne14">[8]!DépDéc[[#Headers],[Date]]</definedName>
    <definedName name="TitreColonne2">[3]!SynthèseDépenses[[#Headers],[Dépenses]]</definedName>
    <definedName name="TitreColonne3">[8]!DépJan[[#Headers],[Date]]</definedName>
    <definedName name="TitreColonne4">[8]!DépFév[[#Headers],[Date]]</definedName>
    <definedName name="TitreColonne5">[8]!DépMar[[#Headers],[Date]]</definedName>
    <definedName name="TitreColonne6">[8]!DépAvr[[#Headers],[Date]]</definedName>
    <definedName name="TitreColonne7">[8]!DépMai[[#Headers],[Date]]</definedName>
    <definedName name="TitreColonne8">[8]!DépJuin[[#Headers],[Date]]</definedName>
    <definedName name="TitreColonne9">[8]!DépJuil[[#Headers],[Date]]</definedName>
    <definedName name="Total">'[2]4 - Clé SALAIRES'!$BA$77</definedName>
    <definedName name="Total_charges">'[2]2 - Matrice finale'!$AA$23</definedName>
    <definedName name="Total_contributions">'[2]2 - Matrice finale'!$AA$42</definedName>
    <definedName name="Total_produits">'[2]2 - Matrice finale'!$AA$34</definedName>
    <definedName name="TRAIIMPOTS">[1]Antennes!$D$78</definedName>
    <definedName name="TRAISAL">[1]Antennes!$D$76</definedName>
    <definedName name="TRAITEPI">[1]Antennes!$D$175</definedName>
    <definedName name="TRISELEC">[1]Antennes!$D$165</definedName>
    <definedName name="VALCART18">[1]Antennes!$D$141</definedName>
    <definedName name="VALFERR19">[1]Antennes!$D$140</definedName>
    <definedName name="VALGROS20">[1]Antennes!$D$142</definedName>
    <definedName name="VALVER03">[1]Antennes!$D$139</definedName>
    <definedName name="_xlnm.Print_Area" localSheetId="1">Comparatif!$D$2:$S$26</definedName>
    <definedName name="_xlnm.Print_Area" localSheetId="0">ElémentsTechniques!$C$19:$O$44</definedName>
    <definedName name="_xlnm.Print_Area" localSheetId="5">'Les Variables'!$A:$J</definedName>
    <definedName name="_xlnm.Print_Area" localSheetId="2">Visuels!$A:$W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2" l="1"/>
  <c r="D5" i="8" l="1"/>
  <c r="AI8" i="8"/>
  <c r="AI7" i="8"/>
  <c r="AI6" i="8"/>
  <c r="AI5" i="8"/>
  <c r="AI3" i="8"/>
  <c r="AK25" i="8" l="1"/>
  <c r="AI22" i="8"/>
  <c r="AI20" i="8"/>
  <c r="AI25" i="8"/>
  <c r="AI24" i="8"/>
  <c r="AI21" i="8"/>
  <c r="AK31" i="8" l="1"/>
  <c r="AK37" i="8"/>
  <c r="AK42" i="8"/>
  <c r="AI35" i="8"/>
  <c r="AI36" i="8"/>
  <c r="AI34" i="8"/>
  <c r="AI33" i="8"/>
  <c r="AI39" i="8"/>
  <c r="AI41" i="8"/>
  <c r="AI40" i="8"/>
  <c r="AI30" i="8"/>
  <c r="AI29" i="8"/>
  <c r="AI28" i="8"/>
  <c r="AL16" i="8"/>
  <c r="AO19" i="8"/>
  <c r="AO18" i="8"/>
  <c r="AO17" i="8"/>
  <c r="AO16" i="8"/>
  <c r="AO15" i="8"/>
  <c r="AO14" i="8"/>
  <c r="AI12" i="8"/>
  <c r="AI11" i="8"/>
  <c r="AI10" i="8"/>
  <c r="AL15" i="8"/>
  <c r="AL14" i="8"/>
  <c r="AI15" i="8"/>
  <c r="AI14" i="8"/>
  <c r="F5" i="3"/>
  <c r="AI16" i="8" l="1"/>
  <c r="F20" i="3"/>
  <c r="F21" i="3" s="1"/>
  <c r="G5" i="3"/>
  <c r="G21" i="3" s="1"/>
  <c r="F21" i="1" l="1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H5" i="3" s="1"/>
  <c r="J5" i="3"/>
  <c r="O5" i="3" s="1"/>
  <c r="K3" i="2"/>
  <c r="L25" i="1" l="1"/>
  <c r="E7" i="7"/>
  <c r="E6" i="7"/>
  <c r="E5" i="7"/>
  <c r="G4" i="7"/>
  <c r="E4" i="7"/>
  <c r="J20" i="3"/>
  <c r="O20" i="3" s="1"/>
  <c r="J19" i="3"/>
  <c r="O19" i="3" s="1"/>
  <c r="J18" i="3"/>
  <c r="O18" i="3" s="1"/>
  <c r="J17" i="3"/>
  <c r="O17" i="3" s="1"/>
  <c r="J16" i="3"/>
  <c r="O16" i="3" s="1"/>
  <c r="J15" i="3"/>
  <c r="O15" i="3" s="1"/>
  <c r="J14" i="3"/>
  <c r="O14" i="3" s="1"/>
  <c r="J13" i="3"/>
  <c r="O13" i="3" s="1"/>
  <c r="J12" i="3"/>
  <c r="O12" i="3" s="1"/>
  <c r="J11" i="3"/>
  <c r="O11" i="3" s="1"/>
  <c r="J10" i="3"/>
  <c r="O10" i="3" s="1"/>
  <c r="J9" i="3"/>
  <c r="O9" i="3" s="1"/>
  <c r="J8" i="3"/>
  <c r="O8" i="3" s="1"/>
  <c r="J7" i="3"/>
  <c r="O7" i="3" s="1"/>
  <c r="J6" i="3"/>
  <c r="O6" i="3" s="1"/>
  <c r="O21" i="3" s="1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Q41" i="2" s="1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38" i="2" s="1"/>
  <c r="W38" i="2"/>
  <c r="W37" i="2"/>
  <c r="W36" i="2"/>
  <c r="W35" i="2"/>
  <c r="W34" i="2"/>
  <c r="W33" i="2"/>
  <c r="W32" i="2"/>
  <c r="W31" i="2"/>
  <c r="W30" i="2"/>
  <c r="W28" i="2"/>
  <c r="W27" i="2"/>
  <c r="W26" i="2"/>
  <c r="W25" i="2"/>
  <c r="W24" i="2"/>
  <c r="W23" i="2"/>
  <c r="W22" i="2"/>
  <c r="M38" i="2"/>
  <c r="K38" i="2"/>
  <c r="U37" i="2"/>
  <c r="M37" i="2"/>
  <c r="K37" i="2"/>
  <c r="U36" i="2"/>
  <c r="M36" i="2"/>
  <c r="K36" i="2"/>
  <c r="M35" i="2"/>
  <c r="U35" i="2"/>
  <c r="K35" i="2"/>
  <c r="U34" i="2"/>
  <c r="M34" i="2"/>
  <c r="K34" i="2"/>
  <c r="U33" i="2"/>
  <c r="M33" i="2"/>
  <c r="K33" i="2"/>
  <c r="U32" i="2"/>
  <c r="M32" i="2"/>
  <c r="K32" i="2"/>
  <c r="U31" i="2"/>
  <c r="M31" i="2"/>
  <c r="K31" i="2"/>
  <c r="U30" i="2"/>
  <c r="M30" i="2"/>
  <c r="K30" i="2"/>
  <c r="U29" i="2"/>
  <c r="K29" i="2"/>
  <c r="U28" i="2"/>
  <c r="M28" i="2"/>
  <c r="K28" i="2"/>
  <c r="U27" i="2"/>
  <c r="M27" i="2"/>
  <c r="K27" i="2"/>
  <c r="U26" i="2"/>
  <c r="M26" i="2"/>
  <c r="K26" i="2"/>
  <c r="U25" i="2"/>
  <c r="M25" i="2"/>
  <c r="K25" i="2"/>
  <c r="U24" i="2"/>
  <c r="M24" i="2"/>
  <c r="K24" i="2"/>
  <c r="U23" i="2"/>
  <c r="M23" i="2"/>
  <c r="K23" i="2"/>
  <c r="U22" i="2"/>
  <c r="M22" i="2"/>
  <c r="K22" i="2"/>
  <c r="Q57" i="2" l="1"/>
  <c r="K57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V38" i="2"/>
  <c r="T38" i="2"/>
  <c r="L38" i="2"/>
  <c r="J38" i="2"/>
  <c r="V37" i="2"/>
  <c r="T37" i="2"/>
  <c r="T56" i="2" s="1"/>
  <c r="L37" i="2"/>
  <c r="J37" i="2"/>
  <c r="V36" i="2"/>
  <c r="T36" i="2"/>
  <c r="T55" i="2" s="1"/>
  <c r="L36" i="2"/>
  <c r="J36" i="2"/>
  <c r="V35" i="2"/>
  <c r="T35" i="2"/>
  <c r="L35" i="2"/>
  <c r="J35" i="2"/>
  <c r="V34" i="2"/>
  <c r="T34" i="2"/>
  <c r="L34" i="2"/>
  <c r="J34" i="2"/>
  <c r="V33" i="2"/>
  <c r="T33" i="2"/>
  <c r="L33" i="2"/>
  <c r="J33" i="2"/>
  <c r="V32" i="2"/>
  <c r="T32" i="2"/>
  <c r="T51" i="2" s="1"/>
  <c r="L32" i="2"/>
  <c r="J32" i="2"/>
  <c r="V31" i="2"/>
  <c r="T31" i="2"/>
  <c r="T50" i="2" s="1"/>
  <c r="L31" i="2"/>
  <c r="J31" i="2"/>
  <c r="V30" i="2"/>
  <c r="T30" i="2"/>
  <c r="L30" i="2"/>
  <c r="J30" i="2"/>
  <c r="V29" i="2"/>
  <c r="T29" i="2"/>
  <c r="T48" i="2" s="1"/>
  <c r="L29" i="2"/>
  <c r="J29" i="2"/>
  <c r="V28" i="2"/>
  <c r="T28" i="2"/>
  <c r="T47" i="2" s="1"/>
  <c r="L28" i="2"/>
  <c r="J28" i="2"/>
  <c r="V27" i="2"/>
  <c r="T27" i="2"/>
  <c r="L27" i="2"/>
  <c r="J27" i="2"/>
  <c r="V26" i="2"/>
  <c r="T26" i="2"/>
  <c r="T45" i="2" s="1"/>
  <c r="L26" i="2"/>
  <c r="J26" i="2"/>
  <c r="V25" i="2"/>
  <c r="T25" i="2"/>
  <c r="T44" i="2" s="1"/>
  <c r="L25" i="2"/>
  <c r="J25" i="2"/>
  <c r="V24" i="2"/>
  <c r="T24" i="2"/>
  <c r="L24" i="2"/>
  <c r="J24" i="2"/>
  <c r="V23" i="2"/>
  <c r="T23" i="2"/>
  <c r="T42" i="2" s="1"/>
  <c r="L23" i="2"/>
  <c r="J23" i="2"/>
  <c r="V22" i="2"/>
  <c r="T22" i="2"/>
  <c r="L22" i="2"/>
  <c r="J22" i="2"/>
  <c r="T54" i="2"/>
  <c r="T53" i="2"/>
  <c r="T52" i="2"/>
  <c r="T49" i="2"/>
  <c r="T46" i="2"/>
  <c r="T43" i="2"/>
  <c r="T41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S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38" i="2" s="1"/>
  <c r="H41" i="2"/>
  <c r="S25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38" i="2"/>
  <c r="AA44" i="2"/>
  <c r="AA43" i="2"/>
  <c r="AA42" i="2"/>
  <c r="AA56" i="2"/>
  <c r="AA41" i="2"/>
  <c r="AA3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38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38" i="2"/>
  <c r="H31" i="2"/>
  <c r="H32" i="2"/>
  <c r="H51" i="2" s="1"/>
  <c r="H22" i="2"/>
  <c r="H23" i="2"/>
  <c r="H24" i="2"/>
  <c r="H25" i="2"/>
  <c r="H26" i="2"/>
  <c r="H27" i="2"/>
  <c r="H28" i="2"/>
  <c r="H29" i="2"/>
  <c r="H48" i="2" s="1"/>
  <c r="H30" i="2"/>
  <c r="H50" i="2"/>
  <c r="H33" i="2"/>
  <c r="H34" i="2"/>
  <c r="H35" i="2"/>
  <c r="H36" i="2"/>
  <c r="H37" i="2"/>
  <c r="H56" i="2" s="1"/>
  <c r="H53" i="2"/>
  <c r="H47" i="2"/>
  <c r="H46" i="2"/>
  <c r="H45" i="2"/>
  <c r="H44" i="2"/>
  <c r="H43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H55" i="2"/>
  <c r="H54" i="2"/>
  <c r="H52" i="2"/>
  <c r="H49" i="2"/>
  <c r="H42" i="2"/>
  <c r="S37" i="2"/>
  <c r="S36" i="2"/>
  <c r="S35" i="2"/>
  <c r="S34" i="2"/>
  <c r="S33" i="2"/>
  <c r="S32" i="2"/>
  <c r="S31" i="2"/>
  <c r="S30" i="2"/>
  <c r="S29" i="2"/>
  <c r="S28" i="2"/>
  <c r="S27" i="2"/>
  <c r="S26" i="2"/>
  <c r="S24" i="2"/>
  <c r="S23" i="2"/>
  <c r="S22" i="2"/>
  <c r="T57" i="2" l="1"/>
  <c r="H57" i="2"/>
  <c r="O57" i="2" l="1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AB57" i="2"/>
  <c r="AA57" i="2"/>
  <c r="Y57" i="2"/>
  <c r="H38" i="2"/>
  <c r="A21" i="1" l="1"/>
  <c r="E29" i="1" s="1"/>
  <c r="J39" i="1" l="1"/>
  <c r="J38" i="1"/>
  <c r="F38" i="1"/>
  <c r="H28" i="1"/>
  <c r="I38" i="1"/>
  <c r="E38" i="1"/>
  <c r="H38" i="1"/>
  <c r="J28" i="1"/>
  <c r="G38" i="1"/>
  <c r="I28" i="1"/>
  <c r="H24" i="1"/>
  <c r="I24" i="1"/>
  <c r="E24" i="1"/>
  <c r="E26" i="1"/>
  <c r="E27" i="1"/>
  <c r="E28" i="1"/>
  <c r="E31" i="1"/>
  <c r="H29" i="1"/>
  <c r="H32" i="1"/>
  <c r="H33" i="1"/>
  <c r="H37" i="1"/>
  <c r="H39" i="1"/>
  <c r="H26" i="1"/>
  <c r="H31" i="1"/>
  <c r="I29" i="1"/>
  <c r="I32" i="1"/>
  <c r="I33" i="1"/>
  <c r="I37" i="1"/>
  <c r="I39" i="1"/>
  <c r="I26" i="1"/>
  <c r="I31" i="1"/>
  <c r="J29" i="1"/>
  <c r="J32" i="1"/>
  <c r="J33" i="1"/>
  <c r="J37" i="1"/>
  <c r="G29" i="1"/>
  <c r="G33" i="1"/>
  <c r="G32" i="1"/>
  <c r="F32" i="1"/>
  <c r="F29" i="1"/>
  <c r="F33" i="1"/>
  <c r="G28" i="1"/>
  <c r="G26" i="1"/>
  <c r="G39" i="1"/>
  <c r="G37" i="1"/>
  <c r="F28" i="1"/>
  <c r="G27" i="1"/>
  <c r="F26" i="1"/>
  <c r="F39" i="1"/>
  <c r="F37" i="1"/>
  <c r="G31" i="1"/>
  <c r="F27" i="1"/>
  <c r="F31" i="1"/>
  <c r="G24" i="1"/>
  <c r="F24" i="1"/>
  <c r="J24" i="1"/>
  <c r="J26" i="1"/>
  <c r="J31" i="1"/>
  <c r="E32" i="1"/>
  <c r="E33" i="1"/>
  <c r="E37" i="1"/>
  <c r="E39" i="1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K20" i="3"/>
  <c r="K19" i="3"/>
  <c r="K18" i="3"/>
  <c r="K17" i="3"/>
  <c r="K16" i="3"/>
  <c r="K15" i="3"/>
  <c r="K14" i="3"/>
  <c r="K13" i="3"/>
  <c r="K12" i="3"/>
  <c r="Q12" i="3" s="1"/>
  <c r="K11" i="3"/>
  <c r="K10" i="3"/>
  <c r="K9" i="3"/>
  <c r="K8" i="3"/>
  <c r="K7" i="3"/>
  <c r="K6" i="3"/>
  <c r="K5" i="3"/>
  <c r="H20" i="3"/>
  <c r="P20" i="3" s="1"/>
  <c r="H19" i="3"/>
  <c r="H18" i="3"/>
  <c r="P18" i="3" s="1"/>
  <c r="H17" i="3"/>
  <c r="H16" i="3"/>
  <c r="P16" i="3" s="1"/>
  <c r="H15" i="3"/>
  <c r="H14" i="3"/>
  <c r="P14" i="3" s="1"/>
  <c r="H13" i="3"/>
  <c r="H12" i="3"/>
  <c r="P12" i="3" s="1"/>
  <c r="H11" i="3"/>
  <c r="H10" i="3"/>
  <c r="H9" i="3"/>
  <c r="H8" i="3"/>
  <c r="P8" i="3" s="1"/>
  <c r="H7" i="3"/>
  <c r="P7" i="3" s="1"/>
  <c r="H6" i="3"/>
  <c r="P6" i="3" s="1"/>
  <c r="AJ3" i="8" l="1"/>
  <c r="AJ7" i="8"/>
  <c r="AJ6" i="8"/>
  <c r="AJ5" i="8"/>
  <c r="J30" i="1"/>
  <c r="K21" i="3"/>
  <c r="K22" i="3" s="1"/>
  <c r="P13" i="3"/>
  <c r="G30" i="1"/>
  <c r="AJ8" i="8" s="1"/>
  <c r="F30" i="1"/>
  <c r="H30" i="1"/>
  <c r="I30" i="1"/>
  <c r="E30" i="1"/>
  <c r="O26" i="1"/>
  <c r="O31" i="1"/>
  <c r="O27" i="1"/>
  <c r="O28" i="1"/>
  <c r="O33" i="1"/>
  <c r="N28" i="1"/>
  <c r="N38" i="1"/>
  <c r="N32" i="1"/>
  <c r="N24" i="1"/>
  <c r="O37" i="1"/>
  <c r="N39" i="1"/>
  <c r="O38" i="1"/>
  <c r="N37" i="1"/>
  <c r="M39" i="1"/>
  <c r="L39" i="1"/>
  <c r="M38" i="1"/>
  <c r="L38" i="1"/>
  <c r="M37" i="1"/>
  <c r="L37" i="1"/>
  <c r="O39" i="1"/>
  <c r="O24" i="1"/>
  <c r="N31" i="1"/>
  <c r="N33" i="1"/>
  <c r="L29" i="1"/>
  <c r="M29" i="1"/>
  <c r="O32" i="1"/>
  <c r="N29" i="1"/>
  <c r="O29" i="1"/>
  <c r="N26" i="1"/>
  <c r="M31" i="1"/>
  <c r="L31" i="1"/>
  <c r="L33" i="1"/>
  <c r="M33" i="1"/>
  <c r="M27" i="1"/>
  <c r="L27" i="1"/>
  <c r="N27" i="1"/>
  <c r="L26" i="1"/>
  <c r="M26" i="1"/>
  <c r="L28" i="1"/>
  <c r="M28" i="1"/>
  <c r="M32" i="1"/>
  <c r="L32" i="1"/>
  <c r="L24" i="1"/>
  <c r="M24" i="1"/>
  <c r="J40" i="1"/>
  <c r="J34" i="1"/>
  <c r="I34" i="1"/>
  <c r="I40" i="1"/>
  <c r="E34" i="1"/>
  <c r="Q14" i="3"/>
  <c r="P10" i="3"/>
  <c r="Q16" i="3"/>
  <c r="Q11" i="3"/>
  <c r="P11" i="3"/>
  <c r="P15" i="3"/>
  <c r="Q15" i="3"/>
  <c r="Q19" i="3"/>
  <c r="Q8" i="3"/>
  <c r="Q20" i="3"/>
  <c r="R9" i="3"/>
  <c r="R17" i="3"/>
  <c r="S9" i="3"/>
  <c r="S17" i="3"/>
  <c r="R6" i="3"/>
  <c r="R14" i="3"/>
  <c r="R18" i="3"/>
  <c r="S6" i="3"/>
  <c r="S10" i="3"/>
  <c r="S14" i="3"/>
  <c r="S18" i="3"/>
  <c r="Q7" i="3"/>
  <c r="P19" i="3"/>
  <c r="R7" i="3"/>
  <c r="R11" i="3"/>
  <c r="R15" i="3"/>
  <c r="R19" i="3"/>
  <c r="S7" i="3"/>
  <c r="S11" i="3"/>
  <c r="S15" i="3"/>
  <c r="S19" i="3"/>
  <c r="L21" i="3"/>
  <c r="L22" i="3" s="1"/>
  <c r="R5" i="3"/>
  <c r="R13" i="3"/>
  <c r="S5" i="3"/>
  <c r="S13" i="3"/>
  <c r="R10" i="3"/>
  <c r="I21" i="3"/>
  <c r="I22" i="3" s="1"/>
  <c r="Q10" i="3"/>
  <c r="R8" i="3"/>
  <c r="R12" i="3"/>
  <c r="R16" i="3"/>
  <c r="R20" i="3"/>
  <c r="S8" i="3"/>
  <c r="S12" i="3"/>
  <c r="S16" i="3"/>
  <c r="S20" i="3"/>
  <c r="M21" i="3"/>
  <c r="M22" i="3" s="1"/>
  <c r="Q17" i="3"/>
  <c r="P9" i="3"/>
  <c r="P17" i="3"/>
  <c r="H21" i="3"/>
  <c r="Q9" i="3"/>
  <c r="Q18" i="3"/>
  <c r="Q6" i="3"/>
  <c r="Q13" i="3"/>
  <c r="Q5" i="3"/>
  <c r="P5" i="3"/>
  <c r="N30" i="1" l="1"/>
  <c r="M30" i="1"/>
  <c r="O30" i="1"/>
  <c r="L30" i="1"/>
  <c r="O40" i="1"/>
  <c r="O34" i="1"/>
  <c r="O25" i="1"/>
  <c r="J42" i="1"/>
  <c r="I42" i="1"/>
  <c r="P21" i="3"/>
  <c r="R21" i="3"/>
  <c r="H22" i="3"/>
  <c r="S21" i="3"/>
  <c r="J21" i="3"/>
  <c r="Q21" i="3"/>
  <c r="J22" i="3" l="1"/>
  <c r="O42" i="1"/>
  <c r="AE2" i="2"/>
  <c r="E40" i="1" l="1"/>
  <c r="H40" i="1"/>
  <c r="L40" i="1" l="1"/>
  <c r="N40" i="1"/>
  <c r="F40" i="1"/>
  <c r="G40" i="1"/>
  <c r="M40" i="1" s="1"/>
  <c r="H34" i="1"/>
  <c r="H42" i="1" l="1"/>
  <c r="L34" i="1"/>
  <c r="N34" i="1"/>
  <c r="E42" i="1"/>
  <c r="L42" i="1" l="1"/>
  <c r="N42" i="1"/>
  <c r="N25" i="1" l="1"/>
  <c r="G34" i="1"/>
  <c r="F34" i="1"/>
  <c r="F42" i="1" s="1"/>
  <c r="G42" i="1" l="1"/>
  <c r="M34" i="1"/>
  <c r="M25" i="1"/>
  <c r="M42" i="1" l="1"/>
  <c r="F5" i="8"/>
  <c r="AI31" i="8" l="1"/>
  <c r="AI42" i="8" l="1"/>
  <c r="AI3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tc={BA2BD117-6120-445E-9927-47B19141AB80}</author>
    <author>tc={96406B82-48E6-4E95-B127-49F44C6B4CF3}</author>
    <author>tc={042535CF-47A1-455A-8312-78257B75413C}</author>
    <author>tc={E2AB267F-62E8-4D3F-A30D-6AEB97675985}</author>
    <author>tc={92C68924-A834-4690-BE6D-7045B5F3D8EB}</author>
    <author>tc={66411118-F4A5-4593-ACEF-CD3D160856D1}</author>
    <author>tc={9034861C-7F70-49CB-8D93-4A0F2107AC2D}</author>
    <author>tc={BA409E15-17B2-41AB-9D3A-4F68612ED53C}</author>
    <author>tc={FD4542CA-985A-424D-AB74-D83B1F4B56DE}</author>
  </authors>
  <commentList>
    <comment ref="H24" authorId="0" shapeId="0" xr:uid="{BA2BD117-6120-445E-9927-47B19141AB8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Fin du protocole BEA sur l'exercice.</t>
      </text>
    </comment>
    <comment ref="I24" authorId="1" shapeId="0" xr:uid="{96406B82-48E6-4E95-B127-49F44C6B4CF3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Dernière année concernant le volet SITREVA Arpajonnais.</t>
      </text>
    </comment>
    <comment ref="J24" authorId="2" shapeId="0" xr:uid="{042535CF-47A1-455A-8312-78257B75413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Fin du protocole encours SEMARDEL. Prévision financement remboursement CITEO N-2 à hauteur de 5,377 M€</t>
      </text>
    </comment>
    <comment ref="H26" authorId="3" shapeId="0" xr:uid="{E2AB267F-62E8-4D3F-A30D-6AEB9767598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Augmentation des coûts de collecte suite à l'arrêt de l'Ecosite Sud Essonne (majoration du P0 de 18,11 €/t hors actualisation des indices.</t>
      </text>
    </comment>
    <comment ref="O26" authorId="4" shapeId="0" xr:uid="{92C68924-A834-4690-BE6D-7045B5F3D8E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Abandon de la compétence collecte au 1er juin 2024 pour le périmètre hors Hurepoix.</t>
      </text>
    </comment>
    <comment ref="O28" authorId="5" shapeId="0" xr:uid="{66411118-F4A5-4593-ACEF-CD3D160856D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Passage des investissements dans les éléments techniques.</t>
      </text>
    </comment>
    <comment ref="O29" authorId="6" shapeId="0" xr:uid="{9034861C-7F70-49CB-8D93-4A0F2107AC2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Passage des investissements dans les éléments techniques.</t>
      </text>
    </comment>
    <comment ref="M38" authorId="7" shapeId="0" xr:uid="{BA409E15-17B2-41AB-9D3A-4F68612ED53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Impact 1M€ suite incitation aux économies d'energie (CEE) + les interessements à la vente des MPS (0,7 M€) et la vente d'energie (0,2M€).</t>
      </text>
    </comment>
    <comment ref="N38" authorId="8" shapeId="0" xr:uid="{FD4542CA-985A-424D-AB74-D83B1F4B56D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Impact des 1M€ CEE et 190 K€ solde CITEO uniquement sur 2022 (one-shot)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tc={BD8E5984-722C-4393-9142-485E58C2329A}</author>
    <author>tc={820F8D52-A29C-4419-B9B0-586A2521E428}</author>
  </authors>
  <commentList>
    <comment ref="B21" authorId="0" shapeId="0" xr:uid="{BD8E5984-722C-4393-9142-485E58C2329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Ajustement à fin juin 2021</t>
      </text>
    </comment>
    <comment ref="B40" authorId="1" shapeId="0" xr:uid="{820F8D52-A29C-4419-B9B0-586A2521E42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Projection effectuée à partir de l'ajustement à fin juin avec application du coefficient fois 2.</t>
      </text>
    </comment>
  </commentList>
</comments>
</file>

<file path=xl/sharedStrings.xml><?xml version="1.0" encoding="utf-8"?>
<sst xmlns="http://schemas.openxmlformats.org/spreadsheetml/2006/main" count="860" uniqueCount="215">
  <si>
    <t>ID_Direction</t>
  </si>
  <si>
    <t>LIB_Direction</t>
  </si>
  <si>
    <t>ID_Service</t>
  </si>
  <si>
    <t>LIB_Service</t>
  </si>
  <si>
    <t>CPS</t>
  </si>
  <si>
    <t>CA Paris Saclay</t>
  </si>
  <si>
    <t>CEA</t>
  </si>
  <si>
    <t>CA Cœur Essonne Agglomération</t>
  </si>
  <si>
    <t>GOS</t>
  </si>
  <si>
    <t>EPT 12 Grand Orly Seine Bièvre</t>
  </si>
  <si>
    <t>SVY</t>
  </si>
  <si>
    <t>CA Val d'Yerres Val de Seine</t>
  </si>
  <si>
    <t>GPS</t>
  </si>
  <si>
    <t>CA Grand Paris Sud Seine Essonne Sénart</t>
  </si>
  <si>
    <t>VET</t>
  </si>
  <si>
    <t>CC du Val Essonne</t>
  </si>
  <si>
    <t>HUR</t>
  </si>
  <si>
    <t>ex SICTOM Hurepoix</t>
  </si>
  <si>
    <t>PL</t>
  </si>
  <si>
    <t>CC du Pays Limours</t>
  </si>
  <si>
    <t>VEL</t>
  </si>
  <si>
    <t>DH</t>
  </si>
  <si>
    <t>CC du Dourdannais en Hurepoix</t>
  </si>
  <si>
    <t>EJH</t>
  </si>
  <si>
    <t>CC Entre Juine et Renarde</t>
  </si>
  <si>
    <t>ESC</t>
  </si>
  <si>
    <t>CA de l'Etampois Sud Essonne</t>
  </si>
  <si>
    <t>EJT</t>
  </si>
  <si>
    <t>EST</t>
  </si>
  <si>
    <t>SED</t>
  </si>
  <si>
    <t>SEDRE de la Région d'Etampes</t>
  </si>
  <si>
    <t>SF</t>
  </si>
  <si>
    <t>SIRTOM Sud Francilien</t>
  </si>
  <si>
    <t>SIRTOM du Sud Francilien</t>
  </si>
  <si>
    <t>FON</t>
  </si>
  <si>
    <t>SMICTOM de la Région de Fontainebleau</t>
  </si>
  <si>
    <t>Total</t>
  </si>
  <si>
    <t>Contribution 2021</t>
  </si>
  <si>
    <t>Estimation Ajustement 2021</t>
  </si>
  <si>
    <t>Projection Réalisation 2021</t>
  </si>
  <si>
    <t>Tonnages sur le porte à porte</t>
  </si>
  <si>
    <t>Tonnages sur l'apport volontaire</t>
  </si>
  <si>
    <t>Tonnages sur les services Techniques</t>
  </si>
  <si>
    <t>Tonnages sur les Déchèteries</t>
  </si>
  <si>
    <t>Collecte</t>
  </si>
  <si>
    <t>Transfert</t>
  </si>
  <si>
    <t>Traitement</t>
  </si>
  <si>
    <t>Déchèteries</t>
  </si>
  <si>
    <t>TVA</t>
  </si>
  <si>
    <t>Part Fixe en euros par habitant</t>
  </si>
  <si>
    <t>Evolution du poste de TGAP</t>
  </si>
  <si>
    <t>TGAP sur l'incinération</t>
  </si>
  <si>
    <t>9,50 €/t</t>
  </si>
  <si>
    <t>8,00 €/t</t>
  </si>
  <si>
    <t>TGAP sur l'enfouissement</t>
  </si>
  <si>
    <t>30,00 €/t</t>
  </si>
  <si>
    <t>TGAP Intra groupe SEMARDEL</t>
  </si>
  <si>
    <t>5,50 €/t</t>
  </si>
  <si>
    <t>4,00 €/t</t>
  </si>
  <si>
    <t>TGAP sur le plâtre</t>
  </si>
  <si>
    <t>37,00 €/t</t>
  </si>
  <si>
    <t>45,00 €/t</t>
  </si>
  <si>
    <t>Evolution des principaux postes de tarification sur le traitement</t>
  </si>
  <si>
    <t>DSP - Ordures Ménagères Résiduelles</t>
  </si>
  <si>
    <t>40,00 €/t</t>
  </si>
  <si>
    <t>11,00 €/t</t>
  </si>
  <si>
    <t>62,63 €/t</t>
  </si>
  <si>
    <t>64,78 €/t</t>
  </si>
  <si>
    <t>63,00 €/t</t>
  </si>
  <si>
    <t>DSP - Collectes Sélectives</t>
  </si>
  <si>
    <t>109,00 €/t</t>
  </si>
  <si>
    <t>108,15 €/t</t>
  </si>
  <si>
    <t>113,57 €/t</t>
  </si>
  <si>
    <t>[A]</t>
  </si>
  <si>
    <t>Les charges de structure</t>
  </si>
  <si>
    <t>TGAP sur le traitement</t>
  </si>
  <si>
    <t>Décomposition par éléments techniques de gestion</t>
  </si>
  <si>
    <t>Focus sur la production des déchets selon les familles</t>
  </si>
  <si>
    <t>[B]</t>
  </si>
  <si>
    <t>TGAP sur les déchèteries</t>
  </si>
  <si>
    <t>Dépenses</t>
  </si>
  <si>
    <t>Recettes</t>
  </si>
  <si>
    <t>Contribution</t>
  </si>
  <si>
    <t>Totalisation Dépenses et Recettes</t>
  </si>
  <si>
    <t>Estimation 2021 effectuée à partir de l'ajustement à fin juin 2021</t>
  </si>
  <si>
    <r>
      <t>A noter</t>
    </r>
    <r>
      <rPr>
        <sz val="11"/>
        <color rgb="FFFF0000"/>
        <rFont val="Arial Nova Cond Light"/>
        <family val="2"/>
      </rPr>
      <t xml:space="preserve"> : </t>
    </r>
  </si>
  <si>
    <t>Ecart 2022 / 2021 budgétaire</t>
  </si>
  <si>
    <t>Ecart 2022 / 2021 ajusté</t>
  </si>
  <si>
    <t>Population estimée</t>
  </si>
  <si>
    <t>Part fixe</t>
  </si>
  <si>
    <t>TGAP
Traitement</t>
  </si>
  <si>
    <t>TGAP
Déchèteries</t>
  </si>
  <si>
    <t>TVA
Technique</t>
  </si>
  <si>
    <t>TVA
Part Fixe</t>
  </si>
  <si>
    <t>TVA
TGAP</t>
  </si>
  <si>
    <t>TOTAL
TTC</t>
  </si>
  <si>
    <t>TVA
Collecte</t>
  </si>
  <si>
    <t>TVA Traitement</t>
  </si>
  <si>
    <t>TVA Déchèteries</t>
  </si>
  <si>
    <t>TVA TGAP Traitement</t>
  </si>
  <si>
    <t>TVA TGAP Déchèteries</t>
  </si>
  <si>
    <t>Recettes
Collecte</t>
  </si>
  <si>
    <t>Recettes
Transfert</t>
  </si>
  <si>
    <t>Recettes
Traitement</t>
  </si>
  <si>
    <t>Recettes
Déchèteries</t>
  </si>
  <si>
    <t>Ecart 2023 / 2022</t>
  </si>
  <si>
    <t>Estimation
Contribution 2022</t>
  </si>
  <si>
    <t>Estimation
Contribution 2023</t>
  </si>
  <si>
    <t>Estimation
Contribution 2024</t>
  </si>
  <si>
    <t>Ecart 2024 / 2023</t>
  </si>
  <si>
    <t>Sélection du périmètre d'analyse</t>
  </si>
  <si>
    <t>TOTAL</t>
  </si>
  <si>
    <t>Projection</t>
  </si>
  <si>
    <t>Ajustement</t>
  </si>
  <si>
    <t>12,00 €/t</t>
  </si>
  <si>
    <t>14,00 €/t</t>
  </si>
  <si>
    <t>51,00 €/t</t>
  </si>
  <si>
    <t>58,00 €/t</t>
  </si>
  <si>
    <t>6,00 €/t</t>
  </si>
  <si>
    <t>7,00 €/t</t>
  </si>
  <si>
    <t>52,00 €/t</t>
  </si>
  <si>
    <t>59,00 €/t</t>
  </si>
  <si>
    <t>A noter que les ratios des gisements pour l'AV, PAP et DST sont iso entre 2021 et 2024 (augmentation causée uniquement par l'évolution de la population du territoire).</t>
  </si>
  <si>
    <t>Intégration en 2022 des déchèteries de Briis-sous-Forge, Dourdan et Saint-Chéron</t>
  </si>
  <si>
    <t>Les augmentations font suites aux inscriptions dans la loi de finance de 2019</t>
  </si>
  <si>
    <t>65,68 €/t</t>
  </si>
  <si>
    <t>66,57 €/t</t>
  </si>
  <si>
    <t>115,85 €/t</t>
  </si>
  <si>
    <t>118,13 €/t</t>
  </si>
  <si>
    <t>DSP - Verres</t>
  </si>
  <si>
    <t>5,97 €/t</t>
  </si>
  <si>
    <t>6,17 €/t</t>
  </si>
  <si>
    <t>6,25 €/t</t>
  </si>
  <si>
    <t>6,34 €/t</t>
  </si>
  <si>
    <t>34,68 €/t</t>
  </si>
  <si>
    <t>35,63 €/t</t>
  </si>
  <si>
    <t>36,65 €/t</t>
  </si>
  <si>
    <t>37,67 €/t</t>
  </si>
  <si>
    <t>80,58 €/t</t>
  </si>
  <si>
    <t>82,79 €/t</t>
  </si>
  <si>
    <t>85,16 €/t</t>
  </si>
  <si>
    <t>87,53 €/t</t>
  </si>
  <si>
    <t>8,67 €/t</t>
  </si>
  <si>
    <t>8,91 €/t</t>
  </si>
  <si>
    <t>9,16 €/t</t>
  </si>
  <si>
    <t>9,42 €/t</t>
  </si>
  <si>
    <t>51,51 €/t</t>
  </si>
  <si>
    <t>52,92 €/t</t>
  </si>
  <si>
    <t>54,44 €/t</t>
  </si>
  <si>
    <t>55,95 €/t</t>
  </si>
  <si>
    <t>PAP/DST - Déchets végétaux</t>
  </si>
  <si>
    <t>DST - Gravats</t>
  </si>
  <si>
    <t>DST - Tout-venant-enfouissable</t>
  </si>
  <si>
    <t>DECH - Tout-venant-enfouissable</t>
  </si>
  <si>
    <t>62,01 €/t</t>
  </si>
  <si>
    <t>DECH - Tout-venant-valorisable</t>
  </si>
  <si>
    <t>93,81 €/t</t>
  </si>
  <si>
    <t>DECH - Déchets végétaux</t>
  </si>
  <si>
    <t>36,04 €/t</t>
  </si>
  <si>
    <t>DECH - Gravats et inertes</t>
  </si>
  <si>
    <t>10,34 €/t</t>
  </si>
  <si>
    <t>60,84 €/t</t>
  </si>
  <si>
    <t>10,14 €/t</t>
  </si>
  <si>
    <t>92,04 €/t</t>
  </si>
  <si>
    <t>35,36 €/t</t>
  </si>
  <si>
    <t>59,67 €/t</t>
  </si>
  <si>
    <t>58,50 €/t</t>
  </si>
  <si>
    <t>9,95 €/t</t>
  </si>
  <si>
    <t>9,75 €/t</t>
  </si>
  <si>
    <t>90,27 €/t</t>
  </si>
  <si>
    <t>88,50 €/t</t>
  </si>
  <si>
    <t>34,00 €/t</t>
  </si>
  <si>
    <t>36,00 €/t</t>
  </si>
  <si>
    <t>81,39 €/t</t>
  </si>
  <si>
    <t>PAP - Encombrants et TVV</t>
  </si>
  <si>
    <t>52,03 €/t</t>
  </si>
  <si>
    <t>8,76 €/t</t>
  </si>
  <si>
    <t>Les tarifications intégrées à la fois le transport et le traitement (ancien marché)</t>
  </si>
  <si>
    <t>Plateformes de Transfert</t>
  </si>
  <si>
    <t>Etat</t>
  </si>
  <si>
    <t>TOTAL DES DEPENSES</t>
  </si>
  <si>
    <t>TOTAL DES RECETTES</t>
  </si>
  <si>
    <t>Ensemble des EPCI</t>
  </si>
  <si>
    <t>Contribution 2020</t>
  </si>
  <si>
    <t>Ajustement 2020</t>
  </si>
  <si>
    <t xml:space="preserve">L'ajustement 2020 prenait en compte à la fois les écarts constatés sur les prestations, la TGAP et la TVA de l'année, mais également un rappel sur la TVA de 2019 (158.553,59 euros sur l'ensemble des EPCI). </t>
  </si>
  <si>
    <t>Ecart 2021 / 2020
ajusté</t>
  </si>
  <si>
    <t>Afin de pouvoir effectuer la comparaison entre 2022 et 2021, il a été enlevé de la contribution 2021 la somme de 175 000 euros correspondant aux frais de gestion de Chilly-Mazarin sur la partie technique des déchèteries (idem pour la contribution de 2020).</t>
  </si>
  <si>
    <t>PART FIXE</t>
  </si>
  <si>
    <t xml:space="preserve">Contribution estimée : </t>
  </si>
  <si>
    <t>COLLECTE</t>
  </si>
  <si>
    <t>TRAITEMENT</t>
  </si>
  <si>
    <t>DECHETERIES</t>
  </si>
  <si>
    <t>ETAT</t>
  </si>
  <si>
    <t>TGAP</t>
  </si>
  <si>
    <t>SEMARDEL (Encours - BEA)</t>
  </si>
  <si>
    <t>SITREVA</t>
  </si>
  <si>
    <t>Investissements net</t>
  </si>
  <si>
    <t>Dette du syndicat (capital et Intérêts des emprunts, ligne de trésorerie)</t>
  </si>
  <si>
    <t>La prévention</t>
  </si>
  <si>
    <t>La pré collecte</t>
  </si>
  <si>
    <t>La collecte</t>
  </si>
  <si>
    <t>Le haut de quai</t>
  </si>
  <si>
    <t>Le transport</t>
  </si>
  <si>
    <t>Le traitement</t>
  </si>
  <si>
    <t>Les recettes</t>
  </si>
  <si>
    <t>Exploitation</t>
  </si>
  <si>
    <t>Prévision réalisation 2021</t>
  </si>
  <si>
    <t>Population du territoire :</t>
  </si>
  <si>
    <t>TGAP + TVA</t>
  </si>
  <si>
    <t>Sur la base de l'ajustement au 30 juin 2021</t>
  </si>
  <si>
    <t>EVOLUTION DES DÉPENSES ET DES RECETTES ENTRE 2021 ET 2024 (SUITE A LA MISE EN PLACE DE LA COMPTABILITÉ ANALYTIQUE)</t>
  </si>
  <si>
    <t>Dans le cadre des prospectives 2023 et 2024, il a été pris en compte une projection sur la base d'une indexation du prix des marchés à hauteur de 3%/an, d'une évolution du poste 012 de 2%/an.</t>
  </si>
  <si>
    <t>EVOLUTION DES CONTRIBUTIONS DES EPCI DE 2021 A 2024</t>
  </si>
  <si>
    <t>SIREDOM : REPARTITION DES DÉPENSES BUDGÉTAIRES 2021 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</si>
</sst>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\t"/>
    <numFmt numFmtId="165" formatCode="#,##0&quot; Hbts&quot;"/>
    <numFmt numFmtId="166" formatCode="_-* #,##0\ &quot;€&quot;_-;\-* #,##0\ &quot;€&quot;_-;_-* &quot;-&quot;??\ &quot;€&quot;_-;_-@_-"/>
    <numFmt numFmtId="167" formatCode="#,##0.00&quot; €/Hb/an&quot;"/>
    <numFmt numFmtId="168" formatCode="#,##0\ &quot;€ TTC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 Cond Light"/>
      <family val="2"/>
    </font>
    <font>
      <b/>
      <sz val="10"/>
      <color theme="0"/>
      <name val="Arial Nova Cond Light"/>
      <family val="2"/>
    </font>
    <font>
      <b/>
      <sz val="10"/>
      <color theme="1"/>
      <name val="Arial Nova Cond Light"/>
      <family val="2"/>
    </font>
    <font>
      <sz val="10"/>
      <color theme="1"/>
      <name val="Arial Nova Cond Light"/>
      <family val="2"/>
    </font>
    <font>
      <i/>
      <sz val="9"/>
      <color theme="1"/>
      <name val="Arial Nova Cond Light"/>
      <family val="2"/>
    </font>
    <font>
      <u/>
      <sz val="11"/>
      <color rgb="FFFF0000"/>
      <name val="Arial Nova Cond Light"/>
      <family val="2"/>
    </font>
    <font>
      <sz val="11"/>
      <color rgb="FFFF0000"/>
      <name val="Arial Nova Cond Light"/>
      <family val="2"/>
    </font>
    <font>
      <b/>
      <sz val="11"/>
      <color theme="0"/>
      <name val="Arial Nova Cond Light"/>
      <family val="2"/>
    </font>
    <font>
      <sz val="10"/>
      <color rgb="FF000000"/>
      <name val="Arial Nova Cond Light"/>
      <family val="2"/>
    </font>
    <font>
      <sz val="9"/>
      <color theme="1"/>
      <name val="Arial Nova Cond Light"/>
      <family val="2"/>
    </font>
    <font>
      <b/>
      <sz val="9"/>
      <color theme="1"/>
      <name val="Arial Nova Cond Light"/>
      <family val="2"/>
    </font>
    <font>
      <b/>
      <sz val="12"/>
      <color theme="0"/>
      <name val="Arial Nova Cond Light"/>
      <family val="2"/>
    </font>
    <font>
      <b/>
      <sz val="16"/>
      <color theme="0"/>
      <name val="Arial Nova Cond Light"/>
      <family val="2"/>
    </font>
    <font>
      <sz val="8"/>
      <color rgb="FFFF0000"/>
      <name val="Arial Nova Cond Light"/>
      <family val="2"/>
    </font>
    <font>
      <sz val="10"/>
      <color theme="0"/>
      <name val="Arial Nova Cond Light"/>
      <family val="2"/>
    </font>
    <font>
      <sz val="11"/>
      <color theme="0"/>
      <name val="Arial Nova Cond Light"/>
      <family val="2"/>
    </font>
    <font>
      <b/>
      <sz val="22"/>
      <name val="Arial Nova Cond Light"/>
      <family val="2"/>
    </font>
    <font>
      <sz val="11"/>
      <color theme="4"/>
      <name val="Arial Nova Cond Light"/>
      <family val="2"/>
    </font>
    <font>
      <b/>
      <sz val="11"/>
      <color theme="1"/>
      <name val="Arial Nova Cond Light"/>
      <family val="2"/>
    </font>
    <font>
      <sz val="8"/>
      <color theme="1"/>
      <name val="Arial Nova Cond Light"/>
      <family val="2"/>
    </font>
    <font>
      <u val="singleAccounting"/>
      <sz val="10"/>
      <color theme="1"/>
      <name val="Arial Nova Cond Light"/>
      <family val="2"/>
    </font>
    <font>
      <b/>
      <sz val="22"/>
      <color theme="1"/>
      <name val="Calibri"/>
      <family val="2"/>
      <scheme val="minor"/>
    </font>
    <font>
      <sz val="12"/>
      <name val="Arial Nova Cond Light"/>
      <family val="2"/>
    </font>
    <font>
      <sz val="12"/>
      <color theme="1"/>
      <name val="Arial Nova Cond Light"/>
      <family val="2"/>
    </font>
    <font>
      <b/>
      <sz val="16"/>
      <color theme="1"/>
      <name val="Arial Nova Cond Light"/>
      <family val="2"/>
    </font>
    <font>
      <sz val="12"/>
      <color theme="0"/>
      <name val="Arial Nova Cond Light"/>
      <family val="2"/>
    </font>
    <font>
      <b/>
      <sz val="12"/>
      <color theme="1"/>
      <name val="Arial Nova Cond Light"/>
      <family val="2"/>
    </font>
    <font>
      <i/>
      <sz val="11"/>
      <color theme="1"/>
      <name val="Arial Nova Cond Light"/>
      <family val="2"/>
    </font>
    <font>
      <b/>
      <sz val="18"/>
      <color theme="1"/>
      <name val="Arial Nova Cond Light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theme="1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2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4" fontId="5" fillId="3" borderId="0" xfId="1" applyFont="1" applyFill="1" applyAlignment="1">
      <alignment vertical="center"/>
    </xf>
    <xf numFmtId="44" fontId="5" fillId="0" borderId="0" xfId="1" applyFont="1" applyAlignment="1">
      <alignment vertical="center"/>
    </xf>
    <xf numFmtId="44" fontId="4" fillId="0" borderId="2" xfId="1" applyFont="1" applyBorder="1" applyAlignment="1">
      <alignment vertical="center"/>
    </xf>
    <xf numFmtId="44" fontId="2" fillId="0" borderId="0" xfId="0" applyNumberFormat="1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2" borderId="1" xfId="2" applyFont="1" applyFill="1" applyBorder="1" applyAlignment="1">
      <alignment horizontal="left" vertical="center" wrapText="1"/>
    </xf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10" fillId="0" borderId="0" xfId="2" applyNumberFormat="1" applyFont="1" applyAlignment="1">
      <alignment horizontal="right" vertical="center"/>
    </xf>
    <xf numFmtId="166" fontId="5" fillId="0" borderId="0" xfId="1" applyNumberFormat="1" applyFont="1" applyAlignment="1">
      <alignment vertical="center"/>
    </xf>
    <xf numFmtId="166" fontId="5" fillId="3" borderId="0" xfId="1" applyNumberFormat="1" applyFont="1" applyFill="1" applyAlignment="1">
      <alignment vertical="center"/>
    </xf>
    <xf numFmtId="166" fontId="12" fillId="0" borderId="2" xfId="0" applyNumberFormat="1" applyFont="1" applyBorder="1" applyAlignment="1">
      <alignment horizontal="right" vertical="center"/>
    </xf>
    <xf numFmtId="165" fontId="10" fillId="3" borderId="0" xfId="2" applyNumberFormat="1" applyFont="1" applyFill="1" applyAlignment="1">
      <alignment horizontal="right" vertical="center"/>
    </xf>
    <xf numFmtId="165" fontId="4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horizontal="right" vertical="center"/>
    </xf>
    <xf numFmtId="0" fontId="13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6" fontId="5" fillId="0" borderId="0" xfId="0" applyNumberFormat="1" applyFont="1"/>
    <xf numFmtId="44" fontId="5" fillId="0" borderId="0" xfId="0" applyNumberFormat="1" applyFont="1"/>
    <xf numFmtId="44" fontId="15" fillId="0" borderId="0" xfId="0" applyNumberFormat="1" applyFont="1"/>
    <xf numFmtId="44" fontId="15" fillId="0" borderId="0" xfId="0" applyNumberFormat="1" applyFont="1" applyAlignment="1">
      <alignment horizontal="right"/>
    </xf>
    <xf numFmtId="0" fontId="2" fillId="0" borderId="0" xfId="0" applyFont="1" applyFill="1"/>
    <xf numFmtId="0" fontId="3" fillId="0" borderId="0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9" fillId="0" borderId="0" xfId="2" applyFont="1" applyFill="1" applyBorder="1" applyAlignment="1">
      <alignment horizontal="center" vertical="center" wrapText="1"/>
    </xf>
    <xf numFmtId="0" fontId="2" fillId="0" borderId="0" xfId="0" applyFont="1" applyFill="1" applyBorder="1"/>
    <xf numFmtId="166" fontId="4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9" borderId="15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11" borderId="6" xfId="2" applyFont="1" applyFill="1" applyBorder="1" applyAlignment="1">
      <alignment horizontal="left" vertical="center" wrapText="1"/>
    </xf>
    <xf numFmtId="0" fontId="3" fillId="11" borderId="6" xfId="2" applyFont="1" applyFill="1" applyBorder="1" applyAlignment="1">
      <alignment horizontal="center" vertical="center" wrapText="1"/>
    </xf>
    <xf numFmtId="0" fontId="3" fillId="11" borderId="7" xfId="2" applyFont="1" applyFill="1" applyBorder="1" applyAlignment="1">
      <alignment horizontal="center" vertical="center" wrapText="1"/>
    </xf>
    <xf numFmtId="0" fontId="3" fillId="11" borderId="13" xfId="2" applyFont="1" applyFill="1" applyBorder="1" applyAlignment="1">
      <alignment horizontal="center" vertical="center" wrapText="1"/>
    </xf>
    <xf numFmtId="0" fontId="18" fillId="0" borderId="0" xfId="0" applyFont="1"/>
    <xf numFmtId="165" fontId="2" fillId="0" borderId="0" xfId="0" applyNumberFormat="1" applyFont="1" applyAlignment="1">
      <alignment vertical="center"/>
    </xf>
    <xf numFmtId="167" fontId="6" fillId="0" borderId="0" xfId="0" applyNumberFormat="1" applyFont="1"/>
    <xf numFmtId="166" fontId="2" fillId="0" borderId="0" xfId="0" applyNumberFormat="1" applyFont="1"/>
    <xf numFmtId="167" fontId="19" fillId="0" borderId="0" xfId="0" applyNumberFormat="1" applyFont="1" applyAlignment="1">
      <alignment horizontal="right" indent="1"/>
    </xf>
    <xf numFmtId="0" fontId="17" fillId="12" borderId="0" xfId="0" applyFont="1" applyFill="1" applyAlignment="1">
      <alignment vertical="center"/>
    </xf>
    <xf numFmtId="0" fontId="17" fillId="12" borderId="0" xfId="0" applyFont="1" applyFill="1" applyAlignment="1">
      <alignment horizontal="right" vertical="center"/>
    </xf>
    <xf numFmtId="167" fontId="16" fillId="12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166" fontId="20" fillId="0" borderId="0" xfId="0" applyNumberFormat="1" applyFont="1"/>
    <xf numFmtId="0" fontId="20" fillId="0" borderId="0" xfId="0" applyFont="1"/>
    <xf numFmtId="166" fontId="2" fillId="0" borderId="0" xfId="1" applyNumberFormat="1" applyFont="1" applyFill="1" applyAlignment="1"/>
    <xf numFmtId="166" fontId="2" fillId="0" borderId="0" xfId="1" applyNumberFormat="1" applyFont="1" applyFill="1" applyBorder="1"/>
    <xf numFmtId="166" fontId="2" fillId="0" borderId="0" xfId="1" applyNumberFormat="1" applyFont="1" applyFill="1"/>
    <xf numFmtId="166" fontId="2" fillId="0" borderId="17" xfId="1" applyNumberFormat="1" applyFont="1" applyFill="1" applyBorder="1" applyAlignment="1"/>
    <xf numFmtId="166" fontId="2" fillId="0" borderId="0" xfId="1" applyNumberFormat="1" applyFont="1" applyFill="1" applyBorder="1" applyAlignment="1"/>
    <xf numFmtId="0" fontId="20" fillId="0" borderId="0" xfId="0" applyFont="1" applyAlignment="1">
      <alignment horizontal="right"/>
    </xf>
    <xf numFmtId="166" fontId="20" fillId="0" borderId="0" xfId="1" applyNumberFormat="1" applyFont="1" applyFill="1" applyAlignment="1">
      <alignment horizontal="center"/>
    </xf>
    <xf numFmtId="166" fontId="20" fillId="0" borderId="0" xfId="1" applyNumberFormat="1" applyFont="1" applyFill="1" applyBorder="1" applyAlignment="1">
      <alignment horizontal="center"/>
    </xf>
    <xf numFmtId="0" fontId="21" fillId="0" borderId="0" xfId="0" applyFont="1"/>
    <xf numFmtId="166" fontId="2" fillId="13" borderId="0" xfId="0" applyNumberFormat="1" applyFont="1" applyFill="1"/>
    <xf numFmtId="166" fontId="2" fillId="14" borderId="17" xfId="0" applyNumberFormat="1" applyFont="1" applyFill="1" applyBorder="1"/>
    <xf numFmtId="166" fontId="5" fillId="14" borderId="0" xfId="0" applyNumberFormat="1" applyFont="1" applyFill="1"/>
    <xf numFmtId="166" fontId="22" fillId="14" borderId="0" xfId="0" applyNumberFormat="1" applyFont="1" applyFill="1"/>
    <xf numFmtId="166" fontId="5" fillId="13" borderId="0" xfId="0" applyNumberFormat="1" applyFont="1" applyFill="1"/>
    <xf numFmtId="166" fontId="5" fillId="13" borderId="17" xfId="0" applyNumberFormat="1" applyFont="1" applyFill="1" applyBorder="1"/>
    <xf numFmtId="166" fontId="5" fillId="13" borderId="18" xfId="0" applyNumberFormat="1" applyFont="1" applyFill="1" applyBorder="1"/>
    <xf numFmtId="166" fontId="2" fillId="0" borderId="0" xfId="1" applyNumberFormat="1" applyFont="1"/>
    <xf numFmtId="0" fontId="3" fillId="12" borderId="1" xfId="2" applyFont="1" applyFill="1" applyBorder="1" applyAlignment="1">
      <alignment horizontal="center" vertical="center" wrapText="1"/>
    </xf>
    <xf numFmtId="0" fontId="4" fillId="15" borderId="0" xfId="2" applyFont="1" applyFill="1" applyAlignment="1">
      <alignment horizontal="center" vertical="center"/>
    </xf>
    <xf numFmtId="0" fontId="5" fillId="15" borderId="0" xfId="2" applyFont="1" applyFill="1" applyAlignment="1">
      <alignment vertical="center"/>
    </xf>
    <xf numFmtId="44" fontId="5" fillId="15" borderId="0" xfId="1" applyFont="1" applyFill="1" applyAlignment="1">
      <alignment vertical="center"/>
    </xf>
    <xf numFmtId="8" fontId="5" fillId="15" borderId="0" xfId="2" applyNumberFormat="1" applyFont="1" applyFill="1" applyAlignment="1">
      <alignment vertical="center"/>
    </xf>
    <xf numFmtId="0" fontId="4" fillId="16" borderId="0" xfId="2" applyFont="1" applyFill="1" applyAlignment="1">
      <alignment horizontal="center" vertical="center"/>
    </xf>
    <xf numFmtId="0" fontId="5" fillId="16" borderId="0" xfId="2" applyFont="1" applyFill="1" applyAlignment="1">
      <alignment vertical="center"/>
    </xf>
    <xf numFmtId="44" fontId="5" fillId="16" borderId="0" xfId="1" applyFont="1" applyFill="1" applyAlignment="1">
      <alignment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vertical="center"/>
    </xf>
    <xf numFmtId="44" fontId="3" fillId="12" borderId="2" xfId="0" applyNumberFormat="1" applyFont="1" applyFill="1" applyBorder="1" applyAlignment="1">
      <alignment vertical="center"/>
    </xf>
    <xf numFmtId="166" fontId="24" fillId="15" borderId="0" xfId="1" applyNumberFormat="1" applyFont="1" applyFill="1" applyAlignment="1">
      <alignment vertical="center"/>
    </xf>
    <xf numFmtId="166" fontId="25" fillId="15" borderId="0" xfId="1" applyNumberFormat="1" applyFont="1" applyFill="1" applyAlignment="1">
      <alignment vertical="center"/>
    </xf>
    <xf numFmtId="166" fontId="25" fillId="16" borderId="0" xfId="1" applyNumberFormat="1" applyFont="1" applyFill="1" applyAlignment="1">
      <alignment vertical="center"/>
    </xf>
    <xf numFmtId="166" fontId="13" fillId="12" borderId="2" xfId="1" applyNumberFormat="1" applyFont="1" applyFill="1" applyBorder="1" applyAlignment="1">
      <alignment vertical="center"/>
    </xf>
    <xf numFmtId="166" fontId="25" fillId="5" borderId="0" xfId="1" applyNumberFormat="1" applyFont="1" applyFill="1" applyBorder="1" applyAlignment="1">
      <alignment vertical="center"/>
    </xf>
    <xf numFmtId="166" fontId="25" fillId="5" borderId="9" xfId="1" applyNumberFormat="1" applyFont="1" applyFill="1" applyBorder="1" applyAlignment="1">
      <alignment vertical="center"/>
    </xf>
    <xf numFmtId="44" fontId="25" fillId="5" borderId="0" xfId="0" applyNumberFormat="1" applyFont="1" applyFill="1" applyBorder="1" applyAlignment="1">
      <alignment vertical="center"/>
    </xf>
    <xf numFmtId="44" fontId="25" fillId="5" borderId="9" xfId="0" applyNumberFormat="1" applyFont="1" applyFill="1" applyBorder="1" applyAlignment="1">
      <alignment vertical="center"/>
    </xf>
    <xf numFmtId="166" fontId="25" fillId="4" borderId="0" xfId="1" applyNumberFormat="1" applyFont="1" applyFill="1" applyBorder="1" applyAlignment="1">
      <alignment vertical="center"/>
    </xf>
    <xf numFmtId="166" fontId="25" fillId="4" borderId="9" xfId="1" applyNumberFormat="1" applyFont="1" applyFill="1" applyBorder="1" applyAlignment="1">
      <alignment vertical="center"/>
    </xf>
    <xf numFmtId="166" fontId="25" fillId="6" borderId="0" xfId="1" applyNumberFormat="1" applyFont="1" applyFill="1" applyBorder="1" applyAlignment="1">
      <alignment vertical="center"/>
    </xf>
    <xf numFmtId="166" fontId="25" fillId="6" borderId="9" xfId="1" applyNumberFormat="1" applyFont="1" applyFill="1" applyBorder="1" applyAlignment="1">
      <alignment vertical="center"/>
    </xf>
    <xf numFmtId="166" fontId="25" fillId="7" borderId="0" xfId="1" applyNumberFormat="1" applyFont="1" applyFill="1" applyBorder="1" applyAlignment="1">
      <alignment vertical="center"/>
    </xf>
    <xf numFmtId="166" fontId="25" fillId="7" borderId="9" xfId="1" applyNumberFormat="1" applyFont="1" applyFill="1" applyBorder="1" applyAlignment="1">
      <alignment vertical="center"/>
    </xf>
    <xf numFmtId="166" fontId="25" fillId="8" borderId="0" xfId="1" applyNumberFormat="1" applyFont="1" applyFill="1" applyBorder="1" applyAlignment="1">
      <alignment vertical="center"/>
    </xf>
    <xf numFmtId="166" fontId="25" fillId="8" borderId="9" xfId="1" applyNumberFormat="1" applyFont="1" applyFill="1" applyBorder="1" applyAlignment="1">
      <alignment vertical="center"/>
    </xf>
    <xf numFmtId="166" fontId="27" fillId="2" borderId="0" xfId="1" applyNumberFormat="1" applyFont="1" applyFill="1" applyBorder="1" applyAlignment="1">
      <alignment vertical="center"/>
    </xf>
    <xf numFmtId="166" fontId="27" fillId="2" borderId="9" xfId="1" applyNumberFormat="1" applyFont="1" applyFill="1" applyBorder="1" applyAlignment="1">
      <alignment vertical="center"/>
    </xf>
    <xf numFmtId="166" fontId="28" fillId="0" borderId="11" xfId="1" applyNumberFormat="1" applyFont="1" applyBorder="1" applyAlignment="1">
      <alignment vertical="center"/>
    </xf>
    <xf numFmtId="166" fontId="28" fillId="0" borderId="12" xfId="1" applyNumberFormat="1" applyFont="1" applyBorder="1" applyAlignment="1">
      <alignment vertical="center"/>
    </xf>
    <xf numFmtId="166" fontId="28" fillId="0" borderId="14" xfId="1" applyNumberFormat="1" applyFont="1" applyBorder="1" applyAlignment="1">
      <alignment vertical="center"/>
    </xf>
    <xf numFmtId="166" fontId="25" fillId="5" borderId="8" xfId="1" applyNumberFormat="1" applyFont="1" applyFill="1" applyBorder="1" applyAlignment="1">
      <alignment vertical="center"/>
    </xf>
    <xf numFmtId="44" fontId="25" fillId="5" borderId="8" xfId="0" applyNumberFormat="1" applyFont="1" applyFill="1" applyBorder="1" applyAlignment="1">
      <alignment vertical="center"/>
    </xf>
    <xf numFmtId="166" fontId="25" fillId="4" borderId="8" xfId="1" applyNumberFormat="1" applyFont="1" applyFill="1" applyBorder="1" applyAlignment="1">
      <alignment vertical="center"/>
    </xf>
    <xf numFmtId="166" fontId="25" fillId="6" borderId="8" xfId="1" applyNumberFormat="1" applyFont="1" applyFill="1" applyBorder="1" applyAlignment="1">
      <alignment vertical="center"/>
    </xf>
    <xf numFmtId="166" fontId="25" fillId="7" borderId="8" xfId="1" applyNumberFormat="1" applyFont="1" applyFill="1" applyBorder="1" applyAlignment="1">
      <alignment vertical="center"/>
    </xf>
    <xf numFmtId="166" fontId="25" fillId="8" borderId="8" xfId="1" applyNumberFormat="1" applyFont="1" applyFill="1" applyBorder="1" applyAlignment="1">
      <alignment vertical="center"/>
    </xf>
    <xf numFmtId="166" fontId="27" fillId="2" borderId="8" xfId="1" applyNumberFormat="1" applyFont="1" applyFill="1" applyBorder="1" applyAlignment="1">
      <alignment vertical="center"/>
    </xf>
    <xf numFmtId="166" fontId="28" fillId="0" borderId="3" xfId="1" applyNumberFormat="1" applyFont="1" applyBorder="1" applyAlignment="1">
      <alignment vertical="center"/>
    </xf>
    <xf numFmtId="166" fontId="28" fillId="0" borderId="16" xfId="1" applyNumberFormat="1" applyFont="1" applyBorder="1" applyAlignment="1">
      <alignment vertical="center"/>
    </xf>
    <xf numFmtId="166" fontId="28" fillId="0" borderId="15" xfId="1" applyNumberFormat="1" applyFont="1" applyBorder="1" applyAlignment="1">
      <alignment vertical="center"/>
    </xf>
    <xf numFmtId="0" fontId="29" fillId="0" borderId="0" xfId="0" applyFont="1"/>
    <xf numFmtId="0" fontId="29" fillId="0" borderId="0" xfId="0" applyFont="1" applyFill="1" applyBorder="1" applyAlignment="1">
      <alignment horizontal="left"/>
    </xf>
    <xf numFmtId="166" fontId="29" fillId="0" borderId="0" xfId="1" applyNumberFormat="1" applyFont="1" applyFill="1" applyBorder="1"/>
    <xf numFmtId="166" fontId="29" fillId="0" borderId="9" xfId="1" applyNumberFormat="1" applyFont="1" applyFill="1" applyBorder="1"/>
    <xf numFmtId="0" fontId="29" fillId="0" borderId="0" xfId="0" applyFont="1" applyFill="1"/>
    <xf numFmtId="166" fontId="29" fillId="0" borderId="8" xfId="1" applyNumberFormat="1" applyFont="1" applyFill="1" applyBorder="1"/>
    <xf numFmtId="0" fontId="29" fillId="0" borderId="0" xfId="0" applyFont="1" applyBorder="1"/>
    <xf numFmtId="166" fontId="29" fillId="0" borderId="0" xfId="1" applyNumberFormat="1" applyFont="1" applyBorder="1"/>
    <xf numFmtId="166" fontId="29" fillId="0" borderId="9" xfId="1" applyNumberFormat="1" applyFont="1" applyBorder="1"/>
    <xf numFmtId="166" fontId="29" fillId="0" borderId="8" xfId="1" applyNumberFormat="1" applyFont="1" applyBorder="1"/>
    <xf numFmtId="0" fontId="13" fillId="11" borderId="15" xfId="2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5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3" fillId="11" borderId="5" xfId="2" applyFont="1" applyFill="1" applyBorder="1" applyAlignment="1">
      <alignment horizontal="center" vertical="center" wrapText="1"/>
    </xf>
    <xf numFmtId="0" fontId="13" fillId="11" borderId="8" xfId="2" applyFont="1" applyFill="1" applyBorder="1" applyAlignment="1">
      <alignment horizontal="center" vertical="center" wrapText="1"/>
    </xf>
    <xf numFmtId="0" fontId="13" fillId="11" borderId="10" xfId="2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9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left" vertical="center"/>
    </xf>
    <xf numFmtId="0" fontId="11" fillId="9" borderId="0" xfId="0" applyFont="1" applyFill="1" applyAlignment="1">
      <alignment horizontal="left" vertical="center" wrapText="1"/>
    </xf>
    <xf numFmtId="167" fontId="19" fillId="0" borderId="0" xfId="0" applyNumberFormat="1" applyFont="1" applyAlignment="1">
      <alignment horizontal="right" indent="1"/>
    </xf>
    <xf numFmtId="168" fontId="14" fillId="12" borderId="0" xfId="1" applyNumberFormat="1" applyFont="1" applyFill="1" applyAlignment="1">
      <alignment horizontal="center" vertical="center"/>
    </xf>
  </cellXfs>
  <cellStyles count="3">
    <cellStyle name="Monétaire" xfId="1" builtinId="4"/>
    <cellStyle name="Normal" xfId="0" builtinId="0"/>
    <cellStyle name="Normal 2" xfId="2" xr:uid="{EFCE7AAC-B642-49BE-A470-1B2E29887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A2-429C-A270-2A14103527A1}"/>
              </c:ext>
            </c:extLst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A2-429C-A270-2A14103527A1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A2-429C-A270-2A14103527A1}"/>
              </c:ext>
            </c:extLst>
          </c:dPt>
          <c:dPt>
            <c:idx val="4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A2-429C-A270-2A14103527A1}"/>
              </c:ext>
            </c:extLst>
          </c:dPt>
          <c:dPt>
            <c:idx val="5"/>
            <c:bubble3D val="0"/>
            <c:explosion val="5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C99-40C7-BCC5-BC2A291A9C7E}"/>
              </c:ext>
            </c:extLst>
          </c:dPt>
          <c:dLbls>
            <c:dLbl>
              <c:idx val="0"/>
              <c:layout>
                <c:manualLayout>
                  <c:x val="8.086424382137411E-2"/>
                  <c:y val="-1.9668765770985561E-2"/>
                </c:manualLayout>
              </c:layout>
              <c:spPr>
                <a:solidFill>
                  <a:srgbClr val="4472C4"/>
                </a:soli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lt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1041758669055257"/>
                      <c:h val="4.34313865169748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9A2-429C-A270-2A14103527A1}"/>
                </c:ext>
              </c:extLst>
            </c:dLbl>
            <c:dLbl>
              <c:idx val="2"/>
              <c:layout>
                <c:manualLayout>
                  <c:x val="5.7378012933568492E-2"/>
                  <c:y val="4.2448511788861013E-2"/>
                </c:manualLayout>
              </c:layout>
              <c:spPr>
                <a:solidFill>
                  <a:srgbClr val="ED7D31">
                    <a:lumMod val="75000"/>
                  </a:srgbClr>
                </a:soli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lt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E9A2-429C-A270-2A14103527A1}"/>
                </c:ext>
              </c:extLst>
            </c:dLbl>
            <c:dLbl>
              <c:idx val="3"/>
              <c:layout>
                <c:manualLayout>
                  <c:x val="-6.1140505584949989E-2"/>
                  <c:y val="3.3775633293124364E-2"/>
                </c:manualLayout>
              </c:layout>
              <c:spPr>
                <a:solidFill>
                  <a:srgbClr val="FFC000">
                    <a:lumMod val="75000"/>
                  </a:srgbClr>
                </a:soli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lt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E9A2-429C-A270-2A14103527A1}"/>
                </c:ext>
              </c:extLst>
            </c:dLbl>
            <c:dLbl>
              <c:idx val="4"/>
              <c:layout>
                <c:manualLayout>
                  <c:x val="-6.9370958259847154E-2"/>
                  <c:y val="-3.3775633293124246E-2"/>
                </c:manualLayout>
              </c:layout>
              <c:spPr>
                <a:solidFill>
                  <a:srgbClr val="44546A"/>
                </a:soli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lt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E9A2-429C-A270-2A14103527A1}"/>
                </c:ext>
              </c:extLst>
            </c:dLbl>
            <c:dLbl>
              <c:idx val="5"/>
              <c:layout>
                <c:manualLayout>
                  <c:x val="4.2768727983075331E-3"/>
                  <c:y val="-5.4969178309888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99-40C7-BCC5-BC2A291A9C7E}"/>
                </c:ext>
              </c:extLst>
            </c:dLbl>
            <c:spPr>
              <a:gradFill rotWithShape="1">
                <a:gsLst>
                  <a:gs pos="0">
                    <a:sysClr val="windowText" lastClr="000000">
                      <a:satMod val="103000"/>
                      <a:lumMod val="102000"/>
                      <a:tint val="94000"/>
                    </a:sysClr>
                  </a:gs>
                  <a:gs pos="50000">
                    <a:sysClr val="windowText" lastClr="000000">
                      <a:satMod val="110000"/>
                      <a:lumMod val="100000"/>
                      <a:shade val="100000"/>
                    </a:sysClr>
                  </a:gs>
                  <a:gs pos="100000">
                    <a:sysClr val="windowText" lastClr="000000">
                      <a:lumMod val="99000"/>
                      <a:satMod val="120000"/>
                      <a:shade val="78000"/>
                    </a:sys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/>
                    </a:solidFill>
                    <a:latin typeface="Arial Nova Cond Light" panose="020B0306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'2021'!$AH$3:$AH$8</c:f>
              <c:strCache>
                <c:ptCount val="6"/>
                <c:pt idx="0">
                  <c:v>PART FIXE</c:v>
                </c:pt>
                <c:pt idx="2">
                  <c:v>COLLECTE</c:v>
                </c:pt>
                <c:pt idx="3">
                  <c:v>TRAITEMENT</c:v>
                </c:pt>
                <c:pt idx="4">
                  <c:v>DECHETERIES</c:v>
                </c:pt>
                <c:pt idx="5">
                  <c:v>ETAT</c:v>
                </c:pt>
              </c:strCache>
            </c:strRef>
          </c:cat>
          <c:val>
            <c:numRef>
              <c:f>'2021'!$AJ$3:$AJ$8</c:f>
              <c:numCache>
                <c:formatCode>#\ ##0.00" €/Hb/an"</c:formatCode>
                <c:ptCount val="6"/>
                <c:pt idx="0">
                  <c:v>22.021318637574694</c:v>
                </c:pt>
                <c:pt idx="2">
                  <c:v>6.1848968127168638</c:v>
                </c:pt>
                <c:pt idx="3">
                  <c:v>28.009303193531796</c:v>
                </c:pt>
                <c:pt idx="4">
                  <c:v>18.664490787280322</c:v>
                </c:pt>
                <c:pt idx="5">
                  <c:v>11.770500499348969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A2-429C-A270-2A14103527A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9A2-429C-A270-2A14103527A1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9A2-429C-A270-2A14103527A1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9A2-429C-A270-2A14103527A1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9A2-429C-A270-2A14103527A1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C99-40C7-BCC5-BC2A291A9C7E}"/>
              </c:ext>
            </c:extLst>
          </c:dPt>
          <c:cat>
            <c:strRef>
              <c:f>'2021'!$AH$3:$AH$8</c:f>
              <c:strCache>
                <c:ptCount val="6"/>
                <c:pt idx="0">
                  <c:v>PART FIXE</c:v>
                </c:pt>
                <c:pt idx="2">
                  <c:v>COLLECTE</c:v>
                </c:pt>
                <c:pt idx="3">
                  <c:v>TRAITEMENT</c:v>
                </c:pt>
                <c:pt idx="4">
                  <c:v>DECHETERIES</c:v>
                </c:pt>
                <c:pt idx="5">
                  <c:v>ETAT</c:v>
                </c:pt>
              </c:strCache>
            </c:strRef>
          </c:cat>
          <c:val>
            <c:numRef>
              <c:f>'2021'!$AK$3:$AK$8</c:f>
              <c:numCache>
                <c:formatCode>#\ ##0.00" €/Hb/an"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15-E9A2-429C-A270-2A1410352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"/>
        <c:holeSize val="86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E98-4EED-9B18-4E8B37560D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98-4EED-9B18-4E8B37560D3E}"/>
              </c:ext>
            </c:extLst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E98-4EED-9B18-4E8B37560D3E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E98-4EED-9B18-4E8B37560D3E}"/>
              </c:ext>
            </c:extLst>
          </c:dPt>
          <c:dPt>
            <c:idx val="4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E98-4EED-9B18-4E8B37560D3E}"/>
              </c:ext>
            </c:extLst>
          </c:dPt>
          <c:dPt>
            <c:idx val="5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E98-4EED-9B18-4E8B37560D3E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014-46EE-8AB8-1805AEF441BE}"/>
              </c:ext>
            </c:extLst>
          </c:dPt>
          <c:dLbls>
            <c:dLbl>
              <c:idx val="0"/>
              <c:layout>
                <c:manualLayout>
                  <c:x val="-0.10336804723412808"/>
                  <c:y val="5.92369732235670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spc="0" baseline="0">
                      <a:solidFill>
                        <a:schemeClr val="bg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98-4EED-9B18-4E8B37560D3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spc="0" baseline="0">
                      <a:solidFill>
                        <a:schemeClr val="bg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98-4EED-9B18-4E8B37560D3E}"/>
                </c:ext>
              </c:extLst>
            </c:dLbl>
            <c:dLbl>
              <c:idx val="2"/>
              <c:layout>
                <c:manualLayout>
                  <c:x val="-8.8558854099122342E-2"/>
                  <c:y val="-0.116443389781756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spc="0" baseline="0">
                      <a:solidFill>
                        <a:schemeClr val="bg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98-4EED-9B18-4E8B37560D3E}"/>
                </c:ext>
              </c:extLst>
            </c:dLbl>
            <c:dLbl>
              <c:idx val="3"/>
              <c:layout>
                <c:manualLayout>
                  <c:x val="4.9857029287655841E-2"/>
                  <c:y val="-0.162595243776346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spc="0" baseline="0">
                      <a:solidFill>
                        <a:schemeClr val="bg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98-4EED-9B18-4E8B37560D3E}"/>
                </c:ext>
              </c:extLst>
            </c:dLbl>
            <c:dLbl>
              <c:idx val="4"/>
              <c:layout>
                <c:manualLayout>
                  <c:x val="0.12125894531686364"/>
                  <c:y val="5.73092518686305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spc="0" baseline="0">
                      <a:solidFill>
                        <a:schemeClr val="bg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98-4EED-9B18-4E8B37560D3E}"/>
                </c:ext>
              </c:extLst>
            </c:dLbl>
            <c:dLbl>
              <c:idx val="5"/>
              <c:layout>
                <c:manualLayout>
                  <c:x val="5.0777657145227462E-3"/>
                  <c:y val="0.108533206076513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spc="0" baseline="0">
                      <a:solidFill>
                        <a:schemeClr val="bg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98-4EED-9B18-4E8B37560D3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spc="0" baseline="0">
                      <a:solidFill>
                        <a:schemeClr val="bg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14-46EE-8AB8-1805AEF441B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'2021'!$AH$3:$AH$9</c:f>
              <c:strCache>
                <c:ptCount val="6"/>
                <c:pt idx="0">
                  <c:v>PART FIXE</c:v>
                </c:pt>
                <c:pt idx="2">
                  <c:v>COLLECTE</c:v>
                </c:pt>
                <c:pt idx="3">
                  <c:v>TRAITEMENT</c:v>
                </c:pt>
                <c:pt idx="4">
                  <c:v>DECHETERIES</c:v>
                </c:pt>
                <c:pt idx="5">
                  <c:v>ETAT</c:v>
                </c:pt>
              </c:strCache>
            </c:strRef>
          </c:cat>
          <c:val>
            <c:numRef>
              <c:f>'2021'!$AI$3:$AI$9</c:f>
              <c:numCache>
                <c:formatCode>_-* #\ ##0\ "€"_-;\-* #\ ##0\ "€"_-;_-* "-"??\ "€"_-;_-@_-</c:formatCode>
                <c:ptCount val="7"/>
                <c:pt idx="0">
                  <c:v>20048935.191163041</c:v>
                </c:pt>
                <c:pt idx="2">
                  <c:v>5630934.1598922526</c:v>
                </c:pt>
                <c:pt idx="3">
                  <c:v>25500593.934396733</c:v>
                </c:pt>
                <c:pt idx="4">
                  <c:v>16992768.340935986</c:v>
                </c:pt>
                <c:pt idx="5">
                  <c:v>10716252.08112378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98-4EED-9B18-4E8B37560D3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27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bg1"/>
          </a:solidFill>
          <a:latin typeface="Arial Nova Cond Light" panose="020B0306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3359893758294E-2"/>
          <c:y val="0.19047619047619047"/>
          <c:w val="0.91500664010624166"/>
          <c:h val="0.5809523809523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'2021'!$AH$33</c:f>
              <c:strCache>
                <c:ptCount val="1"/>
                <c:pt idx="0">
                  <c:v>Le haut de quai</c:v>
                </c:pt>
              </c:strCache>
            </c:strRef>
          </c:tx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-0.29206349206349208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downArrow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6C98-49F6-BE2C-E08F67E61F03}"/>
                </c:ext>
              </c:extLst>
            </c:dLbl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'2021'!$AI$33</c:f>
              <c:numCache>
                <c:formatCode>_-* #\ ##0\ "€"_-;\-* #\ ##0\ "€"_-;_-* "-"??\ "€"_-;_-@_-</c:formatCode>
                <c:ptCount val="1"/>
                <c:pt idx="0">
                  <c:v>4076476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8-49F6-BE2C-E08F67E61F03}"/>
            </c:ext>
          </c:extLst>
        </c:ser>
        <c:ser>
          <c:idx val="1"/>
          <c:order val="1"/>
          <c:tx>
            <c:strRef>
              <c:f>'2021'!$AH$34</c:f>
              <c:strCache>
                <c:ptCount val="1"/>
                <c:pt idx="0">
                  <c:v>Le transport</c:v>
                </c:pt>
              </c:strCache>
            </c:strRef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558E-3"/>
                  <c:y val="0.28869816272965881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upArrow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591885389326334"/>
                      <c:h val="0.244062492188476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C98-49F6-BE2C-E08F67E61F03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'2021'!$AI$34</c:f>
              <c:numCache>
                <c:formatCode>_-* #\ ##0\ "€"_-;\-* #\ ##0\ "€"_-;_-* "-"??\ "€"_-;_-@_-</c:formatCode>
                <c:ptCount val="1"/>
                <c:pt idx="0">
                  <c:v>4472278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98-49F6-BE2C-E08F67E61F03}"/>
            </c:ext>
          </c:extLst>
        </c:ser>
        <c:ser>
          <c:idx val="2"/>
          <c:order val="2"/>
          <c:tx>
            <c:strRef>
              <c:f>'2021'!$AH$35</c:f>
              <c:strCache>
                <c:ptCount val="1"/>
                <c:pt idx="0">
                  <c:v>Le traitement</c:v>
                </c:pt>
              </c:strCache>
            </c:strRef>
          </c:tx>
          <c:spPr>
            <a:solidFill>
              <a:schemeClr val="accent3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798E-3"/>
                  <c:y val="-0.29523759530058741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accent3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3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3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downArrowCallout">
                      <a:avLst>
                        <a:gd name="adj1" fmla="val 25000"/>
                        <a:gd name="adj2" fmla="val 25000"/>
                        <a:gd name="adj3" fmla="val 25000"/>
                        <a:gd name="adj4" fmla="val 6497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567213473315835"/>
                      <c:h val="0.263110111236095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C98-49F6-BE2C-E08F67E61F03}"/>
                </c:ext>
              </c:extLst>
            </c:dLbl>
            <c:numFmt formatCode="#,##0\ &quot;€&quot;" sourceLinked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'2021'!$AI$35</c:f>
              <c:numCache>
                <c:formatCode>_-* #\ ##0\ "€"_-;\-* #\ ##0\ "€"_-;_-* "-"??\ "€"_-;_-@_-</c:formatCode>
                <c:ptCount val="1"/>
                <c:pt idx="0">
                  <c:v>10288063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98-49F6-BE2C-E08F67E61F03}"/>
            </c:ext>
          </c:extLst>
        </c:ser>
        <c:ser>
          <c:idx val="3"/>
          <c:order val="3"/>
          <c:tx>
            <c:strRef>
              <c:f>'2021'!$AH$36</c:f>
              <c:strCache>
                <c:ptCount val="1"/>
                <c:pt idx="0">
                  <c:v>Les recettes</c:v>
                </c:pt>
              </c:strCache>
            </c:strRef>
          </c:tx>
          <c:spPr>
            <a:solidFill>
              <a:schemeClr val="accent3">
                <a:tint val="58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98-49F6-BE2C-E08F67E61F03}"/>
              </c:ext>
            </c:extLst>
          </c:dPt>
          <c:dLbls>
            <c:dLbl>
              <c:idx val="0"/>
              <c:layout>
                <c:manualLayout>
                  <c:x val="-8.8531385866842977E-2"/>
                  <c:y val="-9.3308336457942759E-3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ightArrow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180040472040233"/>
                      <c:h val="0.300172978377702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C98-49F6-BE2C-E08F67E61F03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ightArrow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'2021'!$AI$36</c:f>
              <c:numCache>
                <c:formatCode>_-* #\ ##0\ "€"_-;\-* #\ ##0\ "€"_-;_-* "-"??\ "€"_-;_-@_-</c:formatCode>
                <c:ptCount val="1"/>
                <c:pt idx="0">
                  <c:v>-1844048.9900000002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98-49F6-BE2C-E08F67E61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1773408191"/>
        <c:axId val="1773398207"/>
      </c:barChart>
      <c:catAx>
        <c:axId val="177340819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73398207"/>
        <c:crosses val="autoZero"/>
        <c:auto val="1"/>
        <c:lblAlgn val="ctr"/>
        <c:lblOffset val="100"/>
        <c:noMultiLvlLbl val="0"/>
      </c:catAx>
      <c:valAx>
        <c:axId val="1773398207"/>
        <c:scaling>
          <c:orientation val="minMax"/>
        </c:scaling>
        <c:delete val="1"/>
        <c:axPos val="b"/>
        <c:numFmt formatCode="_-* #\ ##0\ &quot;€&quot;_-;\-* #\ ##0\ &quot;€&quot;_-;_-* &quot;-&quot;??\ &quot;€&quot;_-;_-@_-" sourceLinked="1"/>
        <c:majorTickMark val="out"/>
        <c:minorTickMark val="none"/>
        <c:tickLblPos val="nextTo"/>
        <c:crossAx val="1773408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77049761716197E-2"/>
          <c:y val="0.19047619047619047"/>
          <c:w val="0.90892295023828396"/>
          <c:h val="0.5809523809523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'2021'!$AH$39</c:f>
              <c:strCache>
                <c:ptCount val="1"/>
                <c:pt idx="0">
                  <c:v>Exploitation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23548932177331E-3"/>
                  <c:y val="-0.28571403574553184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downArrow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2253769051992371"/>
                      <c:h val="0.244062492188476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189-422C-8302-8DB4450A2E2D}"/>
                </c:ext>
              </c:extLst>
            </c:dLbl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'2021'!$AI$39</c:f>
              <c:numCache>
                <c:formatCode>_-* #\ ##0\ "€"_-;\-* #\ ##0\ "€"_-;_-* "-"??\ "€"_-;_-@_-</c:formatCode>
                <c:ptCount val="1"/>
                <c:pt idx="0">
                  <c:v>1866145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9-422C-8302-8DB4450A2E2D}"/>
            </c:ext>
          </c:extLst>
        </c:ser>
        <c:ser>
          <c:idx val="1"/>
          <c:order val="1"/>
          <c:tx>
            <c:strRef>
              <c:f>Feuil3!#REF!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  <a:effectLst/>
          </c:spPr>
          <c:invertIfNegative val="0"/>
          <c:val>
            <c:numRef>
              <c:f>Feuil3!#REF!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9-422C-8302-8DB4450A2E2D}"/>
            </c:ext>
          </c:extLst>
        </c:ser>
        <c:ser>
          <c:idx val="2"/>
          <c:order val="2"/>
          <c:tx>
            <c:strRef>
              <c:f>'2021'!$AH$40</c:f>
              <c:strCache>
                <c:ptCount val="1"/>
                <c:pt idx="0">
                  <c:v>Le traitement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66382240738071E-3"/>
                  <c:y val="-0.29523759530058741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accent4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4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4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downArrowCallout">
                      <a:avLst>
                        <a:gd name="adj1" fmla="val 25000"/>
                        <a:gd name="adj2" fmla="val 25000"/>
                        <a:gd name="adj3" fmla="val 25000"/>
                        <a:gd name="adj4" fmla="val 6497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776045477019025"/>
                      <c:h val="0.263110111236095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89-422C-8302-8DB4450A2E2D}"/>
                </c:ext>
              </c:extLst>
            </c:dLbl>
            <c:numFmt formatCode="#,##0\ &quot;€&quot;" sourceLinked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'2021'!$AI$40</c:f>
              <c:numCache>
                <c:formatCode>_-* #\ ##0\ "€"_-;\-* #\ ##0\ "€"_-;_-* "-"??\ "€"_-;_-@_-</c:formatCode>
                <c:ptCount val="1"/>
                <c:pt idx="0">
                  <c:v>24396682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89-422C-8302-8DB4450A2E2D}"/>
            </c:ext>
          </c:extLst>
        </c:ser>
        <c:ser>
          <c:idx val="3"/>
          <c:order val="3"/>
          <c:tx>
            <c:strRef>
              <c:f>'2021'!$AH$41</c:f>
              <c:strCache>
                <c:ptCount val="1"/>
                <c:pt idx="0">
                  <c:v>Les recettes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4584150051521034E-2"/>
                  <c:y val="-2.980127484064492E-3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accent6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6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6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ightArrow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895864260844282"/>
                      <c:h val="0.28630271216097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89-422C-8302-8DB4450A2E2D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upArrow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'2021'!$AI$41</c:f>
              <c:numCache>
                <c:formatCode>_-* #\ ##0\ "€"_-;\-* #\ ##0\ "€"_-;_-* "-"??\ "€"_-;_-@_-</c:formatCode>
                <c:ptCount val="1"/>
                <c:pt idx="0">
                  <c:v>-1284914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89-422C-8302-8DB4450A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1773408191"/>
        <c:axId val="1773398207"/>
      </c:barChart>
      <c:catAx>
        <c:axId val="177340819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73398207"/>
        <c:crosses val="autoZero"/>
        <c:auto val="1"/>
        <c:lblAlgn val="ctr"/>
        <c:lblOffset val="100"/>
        <c:noMultiLvlLbl val="0"/>
      </c:catAx>
      <c:valAx>
        <c:axId val="1773398207"/>
        <c:scaling>
          <c:orientation val="minMax"/>
        </c:scaling>
        <c:delete val="1"/>
        <c:axPos val="b"/>
        <c:numFmt formatCode="_-* #\ ##0\ &quot;€&quot;_-;\-* #\ ##0\ &quot;€&quot;_-;_-* &quot;-&quot;??\ &quot;€&quot;_-;_-@_-" sourceLinked="1"/>
        <c:majorTickMark val="out"/>
        <c:minorTickMark val="none"/>
        <c:tickLblPos val="nextTo"/>
        <c:crossAx val="1773408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3359893758294E-2"/>
          <c:y val="0.19047619047619047"/>
          <c:w val="0.91500664010624166"/>
          <c:h val="0.5809523809523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'2021'!$AH$28</c:f>
              <c:strCache>
                <c:ptCount val="1"/>
                <c:pt idx="0">
                  <c:v>La prévention</c:v>
                </c:pt>
              </c:strCache>
            </c:strRef>
          </c:tx>
          <c:spPr>
            <a:solidFill>
              <a:schemeClr val="accent2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-0.29206349206349208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downArrow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B999-48A1-AD44-6CCEAACB2849}"/>
                </c:ext>
              </c:extLst>
            </c:dLbl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'2021'!$AI$28</c:f>
              <c:numCache>
                <c:formatCode>_-* #\ ##0\ "€"_-;\-* #\ ##0\ "€"_-;_-* "-"??\ "€"_-;_-@_-</c:formatCode>
                <c:ptCount val="1"/>
                <c:pt idx="0">
                  <c:v>108430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9-48A1-AD44-6CCEAACB2849}"/>
            </c:ext>
          </c:extLst>
        </c:ser>
        <c:ser>
          <c:idx val="1"/>
          <c:order val="1"/>
          <c:tx>
            <c:strRef>
              <c:f>'2021'!$AH$29</c:f>
              <c:strCache>
                <c:ptCount val="1"/>
                <c:pt idx="0">
                  <c:v>La pré collecte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558E-3"/>
                  <c:y val="0.28869816272965881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upArrow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591885389326334"/>
                      <c:h val="0.244062492188476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999-48A1-AD44-6CCEAACB2849}"/>
                </c:ext>
              </c:extLst>
            </c:dLbl>
            <c:numFmt formatCode="#,##0\ &quot;€&quot;" sourceLinked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'2021'!$AI$29</c:f>
              <c:numCache>
                <c:formatCode>_-* #\ ##0\ "€"_-;\-* #\ ##0\ "€"_-;_-* "-"??\ "€"_-;_-@_-</c:formatCode>
                <c:ptCount val="1"/>
                <c:pt idx="0">
                  <c:v>430070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99-48A1-AD44-6CCEAACB2849}"/>
            </c:ext>
          </c:extLst>
        </c:ser>
        <c:ser>
          <c:idx val="2"/>
          <c:order val="2"/>
          <c:tx>
            <c:strRef>
              <c:f>'2021'!$AH$30</c:f>
              <c:strCache>
                <c:ptCount val="1"/>
                <c:pt idx="0">
                  <c:v>La collecte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798E-3"/>
                  <c:y val="-0.29523759530058741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accent2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2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2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downArrowCallout">
                      <a:avLst>
                        <a:gd name="adj1" fmla="val 25000"/>
                        <a:gd name="adj2" fmla="val 25000"/>
                        <a:gd name="adj3" fmla="val 25000"/>
                        <a:gd name="adj4" fmla="val 6497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567213473315835"/>
                      <c:h val="0.263110111236095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999-48A1-AD44-6CCEAACB2849}"/>
                </c:ext>
              </c:extLst>
            </c:dLbl>
            <c:numFmt formatCode="#,##0\ &quot;€&quot;" sourceLinked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'2021'!$AI$30</c:f>
              <c:numCache>
                <c:formatCode>_-* #\ ##0\ "€"_-;\-* #\ ##0\ "€"_-;_-* "-"??\ "€"_-;_-@_-</c:formatCode>
                <c:ptCount val="1"/>
                <c:pt idx="0">
                  <c:v>5092434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99-48A1-AD44-6CCEAACB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1773408191"/>
        <c:axId val="1773398207"/>
      </c:barChart>
      <c:catAx>
        <c:axId val="177340819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73398207"/>
        <c:crosses val="autoZero"/>
        <c:auto val="1"/>
        <c:lblAlgn val="ctr"/>
        <c:lblOffset val="100"/>
        <c:noMultiLvlLbl val="0"/>
      </c:catAx>
      <c:valAx>
        <c:axId val="1773398207"/>
        <c:scaling>
          <c:orientation val="minMax"/>
        </c:scaling>
        <c:delete val="1"/>
        <c:axPos val="b"/>
        <c:numFmt formatCode="_-* #\ ##0\ &quot;€&quot;_-;\-* #\ ##0\ &quot;€&quot;_-;_-* &quot;-&quot;??\ &quot;€&quot;_-;_-@_-" sourceLinked="1"/>
        <c:majorTickMark val="out"/>
        <c:minorTickMark val="none"/>
        <c:tickLblPos val="nextTo"/>
        <c:crossAx val="1773408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3359893758294E-2"/>
          <c:y val="0.19047619047619047"/>
          <c:w val="0.91500664010624166"/>
          <c:h val="0.5809523809523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'2021'!$AH$14</c:f>
              <c:strCache>
                <c:ptCount val="1"/>
                <c:pt idx="0">
                  <c:v>TGAP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443850053093E-3"/>
                  <c:y val="-0.29883171394098562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dk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dk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dk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downArrow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46F5-45D7-B7DD-9695D9BB263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'2021'!$AI$14</c:f>
              <c:numCache>
                <c:formatCode>_-* #\ ##0\ "€"_-;\-* #\ ##0\ "€"_-;_-* "-"??\ "€"_-;_-@_-</c:formatCode>
                <c:ptCount val="1"/>
                <c:pt idx="0">
                  <c:v>4339835.3111237809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5-45D7-B7DD-9695D9BB263D}"/>
            </c:ext>
          </c:extLst>
        </c:ser>
        <c:ser>
          <c:idx val="1"/>
          <c:order val="1"/>
          <c:tx>
            <c:strRef>
              <c:f>'2021'!$AH$15</c:f>
              <c:strCache>
                <c:ptCount val="1"/>
                <c:pt idx="0">
                  <c:v>TVA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256216064594979E-2"/>
                  <c:y val="-0.30690291746428311"/>
                </c:manualLayout>
              </c:layout>
              <c:numFmt formatCode="#,##0\ &quot;€&quot;" sourceLinked="0"/>
              <c:spPr>
                <a:gradFill rotWithShape="1">
                  <a:gsLst>
                    <a:gs pos="0">
                      <a:schemeClr val="dk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dk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dk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>
                  <a:noFill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downArrow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556270160886379"/>
                      <c:h val="0.271135415023470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6F5-45D7-B7DD-9695D9BB263D}"/>
                </c:ext>
              </c:extLst>
            </c:dLbl>
            <c:numFmt formatCode="#,##0\ &quot;€&quot;" sourceLinked="0"/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'2021'!$AI$15</c:f>
              <c:numCache>
                <c:formatCode>_-* #\ ##0\ "€"_-;\-* #\ ##0\ "€"_-;_-* "-"??\ "€"_-;_-@_-</c:formatCode>
                <c:ptCount val="1"/>
                <c:pt idx="0">
                  <c:v>6376416.7699999996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5-45D7-B7DD-9695D9BB2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1773408191"/>
        <c:axId val="1773398207"/>
      </c:barChart>
      <c:catAx>
        <c:axId val="177340819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73398207"/>
        <c:crosses val="autoZero"/>
        <c:auto val="1"/>
        <c:lblAlgn val="ctr"/>
        <c:lblOffset val="100"/>
        <c:noMultiLvlLbl val="0"/>
      </c:catAx>
      <c:valAx>
        <c:axId val="1773398207"/>
        <c:scaling>
          <c:orientation val="minMax"/>
        </c:scaling>
        <c:delete val="1"/>
        <c:axPos val="b"/>
        <c:numFmt formatCode="_-* #\ ##0\ &quot;€&quot;_-;\-* #\ ##0\ &quot;€&quot;_-;_-* &quot;-&quot;??\ &quot;€&quot;_-;_-@_-" sourceLinked="1"/>
        <c:majorTickMark val="out"/>
        <c:minorTickMark val="none"/>
        <c:tickLblPos val="nextTo"/>
        <c:crossAx val="1773408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74101901384527E-3"/>
          <c:y val="2.5396825396825397E-2"/>
          <c:w val="0.99134258980986156"/>
          <c:h val="0.974603174603174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'2021'!$AH$20</c:f>
              <c:strCache>
                <c:ptCount val="1"/>
                <c:pt idx="0">
                  <c:v>SEMARDEL (Encours - BEA)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1420849595873055"/>
                  <c:y val="-1.05818883391335E-16"/>
                </c:manualLayout>
              </c:layout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bg1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0450192430609389"/>
                      <c:h val="0.144126984126984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3497-40AC-9B21-B1DB0E6FC2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'2021'!$AI$20</c:f>
              <c:numCache>
                <c:formatCode>_-* #\ ##0\ "€"_-;\-* #\ ##0\ "€"_-;_-* "-"??\ "€"_-;_-@_-</c:formatCode>
                <c:ptCount val="1"/>
                <c:pt idx="0">
                  <c:v>8547325.7899999991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7-40AC-9B21-B1DB0E6FC289}"/>
            </c:ext>
          </c:extLst>
        </c:ser>
        <c:ser>
          <c:idx val="1"/>
          <c:order val="1"/>
          <c:tx>
            <c:strRef>
              <c:f>'2021'!$AH$21</c:f>
              <c:strCache>
                <c:ptCount val="1"/>
                <c:pt idx="0">
                  <c:v>SITREVA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561267276823557E-3"/>
                  <c:y val="-4.3276408630738812E-3"/>
                </c:manualLayout>
              </c:layout>
              <c:numFmt formatCode="#,##0\ &quot;€&quot;" sourceLinked="0"/>
              <c:spPr>
                <a:solidFill>
                  <a:schemeClr val="lt1"/>
                </a:solidFill>
                <a:ln w="12700" cap="flat" cmpd="sng" algn="ctr">
                  <a:noFill/>
                  <a:prstDash val="solid"/>
                  <a:miter lim="800000"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562219230368227"/>
                      <c:h val="0.11303814295940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497-40AC-9B21-B1DB0E6FC2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'2021'!$AI$21</c:f>
              <c:numCache>
                <c:formatCode>_-* #\ ##0\ "€"_-;\-* #\ ##0\ "€"_-;_-* "-"??\ "€"_-;_-@_-</c:formatCode>
                <c:ptCount val="1"/>
                <c:pt idx="0">
                  <c:v>5652032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97-40AC-9B21-B1DB0E6FC289}"/>
            </c:ext>
          </c:extLst>
        </c:ser>
        <c:ser>
          <c:idx val="2"/>
          <c:order val="2"/>
          <c:tx>
            <c:strRef>
              <c:f>'2021'!$AH$22</c:f>
              <c:strCache>
                <c:ptCount val="1"/>
                <c:pt idx="0">
                  <c:v>Les charges de structure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64293600605623769"/>
                      <c:h val="0.144126984126984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497-40AC-9B21-B1DB0E6FC289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'2021'!$AI$22</c:f>
              <c:numCache>
                <c:formatCode>_-* #\ ##0\ "€"_-;\-* #\ ##0\ "€"_-;_-* "-"??\ "€"_-;_-@_-</c:formatCode>
                <c:ptCount val="1"/>
                <c:pt idx="0">
                  <c:v>2942797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97-40AC-9B21-B1DB0E6FC289}"/>
            </c:ext>
          </c:extLst>
        </c:ser>
        <c:ser>
          <c:idx val="3"/>
          <c:order val="3"/>
          <c:tx>
            <c:strRef>
              <c:f>'2021'!$AH$23</c:f>
              <c:strCache>
                <c:ptCount val="1"/>
                <c:pt idx="0">
                  <c:v>Investissements net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53941278065630394"/>
                      <c:h val="0.142972582972582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497-40AC-9B21-B1DB0E6FC289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 Light" panose="020B0306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'2021'!$AI$23</c:f>
              <c:numCache>
                <c:formatCode>_-* #\ ##0\ "€"_-;\-* #\ ##0\ "€"_-;_-* "-"??\ "€"_-;_-@_-</c:formatCode>
                <c:ptCount val="1"/>
                <c:pt idx="0">
                  <c:v>2622075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97-40AC-9B21-B1DB0E6FC289}"/>
            </c:ext>
          </c:extLst>
        </c:ser>
        <c:ser>
          <c:idx val="4"/>
          <c:order val="4"/>
          <c:tx>
            <c:strRef>
              <c:f>'2021'!$AH$24</c:f>
              <c:strCache>
                <c:ptCount val="1"/>
                <c:pt idx="0">
                  <c:v>Dette du syndicat (capital et Intérêts des emprunts, ligne de trésorerie)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\ &quot;€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ova Cond Light" panose="020B0306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73799645510632428"/>
                      <c:h val="0.20580109304518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3497-40AC-9B21-B1DB0E6FC289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ova Cond Light" panose="020B0306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'2021'!$AI$24</c:f>
              <c:numCache>
                <c:formatCode>_-* #\ ##0\ "€"_-;\-* #\ ##0\ "€"_-;_-* "-"??\ "€"_-;_-@_-</c:formatCode>
                <c:ptCount val="1"/>
                <c:pt idx="0">
                  <c:v>284705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97-40AC-9B21-B1DB0E6FC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1773408191"/>
        <c:axId val="1773398207"/>
      </c:barChart>
      <c:catAx>
        <c:axId val="177340819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73398207"/>
        <c:crosses val="autoZero"/>
        <c:auto val="1"/>
        <c:lblAlgn val="ctr"/>
        <c:lblOffset val="100"/>
        <c:noMultiLvlLbl val="0"/>
      </c:catAx>
      <c:valAx>
        <c:axId val="1773398207"/>
        <c:scaling>
          <c:orientation val="minMax"/>
        </c:scaling>
        <c:delete val="1"/>
        <c:axPos val="b"/>
        <c:numFmt formatCode="_-* #\ ##0\ &quot;€&quot;_-;\-* #\ ##0\ &quot;€&quot;_-;_-* &quot;-&quot;??\ &quot;€&quot;_-;_-@_-" sourceLinked="1"/>
        <c:majorTickMark val="out"/>
        <c:minorTickMark val="none"/>
        <c:tickLblPos val="nextTo"/>
        <c:crossAx val="1773408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plotArea>
      <cx:plotAreaRegion>
        <cx:series layoutId="funnel" uniqueId="{F46EA3B2-DF0E-4201-9192-4C07AADCAD15}">
          <cx:spPr>
            <a:gradFill flip="none" rotWithShape="1">
              <a:gsLst>
                <a:gs pos="0">
                  <a:schemeClr val="tx1"/>
                </a:gs>
                <a:gs pos="68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path path="circle">
                <a:fillToRect l="100000" t="100000"/>
              </a:path>
              <a:tileRect r="-100000" b="-100000"/>
            </a:gradFill>
          </cx:spPr>
          <cx:dataLabels>
            <cx:numFmt formatCode="# ##0 €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sz="800" b="0" i="0">
                    <a:solidFill>
                      <a:srgbClr val="595959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fr-FR" sz="800"/>
              </a:p>
            </cx:txPr>
            <cx:visibility seriesName="0" categoryName="1" value="1"/>
            <cx:separator> </cx:separator>
          </cx:dataLabels>
          <cx:dataId val="0"/>
        </cx:series>
      </cx:plotAreaRegion>
      <cx:axis id="0" hidden="1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800" b="0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fr-FR" sz="800"/>
          </a:p>
        </cx:txPr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chart" Target="../charts/chart4.xml"/><Relationship Id="rId3" Type="http://schemas.openxmlformats.org/officeDocument/2006/relationships/image" Target="../media/image6.png"/><Relationship Id="rId7" Type="http://schemas.openxmlformats.org/officeDocument/2006/relationships/hyperlink" Target="http://phonemus.fr/gallery.htm" TargetMode="External"/><Relationship Id="rId12" Type="http://schemas.openxmlformats.org/officeDocument/2006/relationships/chart" Target="../charts/chart3.xml"/><Relationship Id="rId17" Type="http://schemas.microsoft.com/office/2014/relationships/chartEx" Target="../charts/chartEx1.xml"/><Relationship Id="rId2" Type="http://schemas.openxmlformats.org/officeDocument/2006/relationships/chart" Target="../charts/chart2.xml"/><Relationship Id="rId16" Type="http://schemas.openxmlformats.org/officeDocument/2006/relationships/chart" Target="../charts/chart7.xml"/><Relationship Id="rId1" Type="http://schemas.openxmlformats.org/officeDocument/2006/relationships/chart" Target="../charts/chart1.xml"/><Relationship Id="rId6" Type="http://schemas.openxmlformats.org/officeDocument/2006/relationships/image" Target="../media/image8.gif"/><Relationship Id="rId11" Type="http://schemas.openxmlformats.org/officeDocument/2006/relationships/image" Target="../media/image11.svg"/><Relationship Id="rId5" Type="http://schemas.microsoft.com/office/2007/relationships/hdphoto" Target="../media/hdphoto1.wdp"/><Relationship Id="rId15" Type="http://schemas.openxmlformats.org/officeDocument/2006/relationships/chart" Target="../charts/chart6.xml"/><Relationship Id="rId10" Type="http://schemas.openxmlformats.org/officeDocument/2006/relationships/image" Target="../media/image10.png"/><Relationship Id="rId4" Type="http://schemas.openxmlformats.org/officeDocument/2006/relationships/image" Target="../media/image7.png"/><Relationship Id="rId9" Type="http://schemas.openxmlformats.org/officeDocument/2006/relationships/hyperlink" Target="https://openclipart.org/detail/237859/factory" TargetMode="External"/><Relationship Id="rId1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9526</xdr:rowOff>
    </xdr:from>
    <xdr:to>
      <xdr:col>22</xdr:col>
      <xdr:colOff>676275</xdr:colOff>
      <xdr:row>92</xdr:row>
      <xdr:rowOff>133350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CC27AE56-09C3-461A-B083-2EF838C4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6"/>
          <a:ext cx="17440275" cy="869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93</xdr:row>
      <xdr:rowOff>19051</xdr:rowOff>
    </xdr:from>
    <xdr:to>
      <xdr:col>22</xdr:col>
      <xdr:colOff>759837</xdr:colOff>
      <xdr:row>136</xdr:row>
      <xdr:rowOff>161925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B8DCDC68-C821-42E4-902D-89EE8722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7907001"/>
          <a:ext cx="17523836" cy="8334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85725</xdr:rowOff>
    </xdr:from>
    <xdr:to>
      <xdr:col>22</xdr:col>
      <xdr:colOff>752475</xdr:colOff>
      <xdr:row>183</xdr:row>
      <xdr:rowOff>9524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2061D6FF-EB91-4066-AC0E-6BBB9C9C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55675"/>
          <a:ext cx="17516475" cy="8686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22</xdr:col>
      <xdr:colOff>717896</xdr:colOff>
      <xdr:row>47</xdr:row>
      <xdr:rowOff>9525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55B7A35-A19B-47A3-9E06-7DF1C162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61950"/>
          <a:ext cx="17434271" cy="877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638175</xdr:colOff>
      <xdr:row>38</xdr:row>
      <xdr:rowOff>47625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B9055F61-FE74-4473-8816-D6CF5E88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40175" cy="728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371476</xdr:colOff>
      <xdr:row>3</xdr:row>
      <xdr:rowOff>47626</xdr:rowOff>
    </xdr:from>
    <xdr:to>
      <xdr:col>17</xdr:col>
      <xdr:colOff>295276</xdr:colOff>
      <xdr:row>43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5FC6B30-FAEC-4D45-B52C-D8F9D612D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400051</xdr:colOff>
      <xdr:row>6</xdr:row>
      <xdr:rowOff>19050</xdr:rowOff>
    </xdr:from>
    <xdr:to>
      <xdr:col>19</xdr:col>
      <xdr:colOff>428625</xdr:colOff>
      <xdr:row>40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78646CA-07AA-43C6-B4DB-E50A24573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321083</xdr:colOff>
      <xdr:row>1</xdr:row>
      <xdr:rowOff>322796</xdr:rowOff>
    </xdr:from>
    <xdr:to>
      <xdr:col>11</xdr:col>
      <xdr:colOff>70268</xdr:colOff>
      <xdr:row>3</xdr:row>
      <xdr:rowOff>128346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0CF277C-2D84-4643-B80F-F512EFF16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50633" y="503771"/>
          <a:ext cx="558810" cy="3389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18</xdr:row>
      <xdr:rowOff>95251</xdr:rowOff>
    </xdr:from>
    <xdr:to>
      <xdr:col>16</xdr:col>
      <xdr:colOff>271742</xdr:colOff>
      <xdr:row>20</xdr:row>
      <xdr:rowOff>85726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E34D5ED-4951-4E5B-895A-3A4C5EDE2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696700" y="3648076"/>
          <a:ext cx="1024217" cy="361950"/>
        </a:xfrm>
        <a:prstGeom prst="rect">
          <a:avLst/>
        </a:prstGeom>
      </xdr:spPr>
    </xdr:pic>
    <xdr:clientData/>
  </xdr:twoCellAnchor>
  <xdr:twoCellAnchor editAs="oneCell">
    <xdr:from>
      <xdr:col>13</xdr:col>
      <xdr:colOff>647701</xdr:colOff>
      <xdr:row>36</xdr:row>
      <xdr:rowOff>161925</xdr:rowOff>
    </xdr:from>
    <xdr:to>
      <xdr:col>15</xdr:col>
      <xdr:colOff>11729</xdr:colOff>
      <xdr:row>39</xdr:row>
      <xdr:rowOff>36306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352C644-DBA6-4A3E-97A4-7A2E9459E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7"/>
            </a:ext>
          </a:extLst>
        </a:blip>
        <a:stretch>
          <a:fillRect/>
        </a:stretch>
      </xdr:blipFill>
      <xdr:spPr>
        <a:xfrm>
          <a:off x="10810876" y="6810375"/>
          <a:ext cx="888028" cy="417306"/>
        </a:xfrm>
        <a:prstGeom prst="rect">
          <a:avLst/>
        </a:prstGeom>
      </xdr:spPr>
    </xdr:pic>
    <xdr:clientData/>
  </xdr:twoCellAnchor>
  <xdr:oneCellAnchor>
    <xdr:from>
      <xdr:col>8</xdr:col>
      <xdr:colOff>250012</xdr:colOff>
      <xdr:row>40</xdr:row>
      <xdr:rowOff>87572</xdr:rowOff>
    </xdr:from>
    <xdr:ext cx="566777" cy="471159"/>
    <xdr:pic>
      <xdr:nvPicPr>
        <xdr:cNvPr id="8" name="Image 7">
          <a:extLst>
            <a:ext uri="{FF2B5EF4-FFF2-40B4-BE49-F238E27FC236}">
              <a16:creationId xmlns:a16="http://schemas.microsoft.com/office/drawing/2014/main" id="{13A83A47-2C6C-4B4A-B898-57D1AC664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9"/>
            </a:ext>
          </a:extLst>
        </a:blip>
        <a:stretch>
          <a:fillRect/>
        </a:stretch>
      </xdr:blipFill>
      <xdr:spPr>
        <a:xfrm>
          <a:off x="6555562" y="7459922"/>
          <a:ext cx="566777" cy="471159"/>
        </a:xfrm>
        <a:prstGeom prst="rect">
          <a:avLst/>
        </a:prstGeom>
      </xdr:spPr>
    </xdr:pic>
    <xdr:clientData/>
  </xdr:oneCellAnchor>
  <xdr:twoCellAnchor editAs="oneCell">
    <xdr:from>
      <xdr:col>5</xdr:col>
      <xdr:colOff>744815</xdr:colOff>
      <xdr:row>15</xdr:row>
      <xdr:rowOff>20915</xdr:rowOff>
    </xdr:from>
    <xdr:to>
      <xdr:col>6</xdr:col>
      <xdr:colOff>550586</xdr:colOff>
      <xdr:row>18</xdr:row>
      <xdr:rowOff>17186</xdr:rowOff>
    </xdr:to>
    <xdr:pic>
      <xdr:nvPicPr>
        <xdr:cNvPr id="9" name="Graphique 8" descr="Camion-benne avec un remplissage uni">
          <a:extLst>
            <a:ext uri="{FF2B5EF4-FFF2-40B4-BE49-F238E27FC236}">
              <a16:creationId xmlns:a16="http://schemas.microsoft.com/office/drawing/2014/main" id="{094A857C-5A56-43F6-8934-4206F9A7B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764365" y="2840315"/>
          <a:ext cx="567771" cy="567771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15</xdr:row>
      <xdr:rowOff>28575</xdr:rowOff>
    </xdr:from>
    <xdr:to>
      <xdr:col>6</xdr:col>
      <xdr:colOff>361950</xdr:colOff>
      <xdr:row>26</xdr:row>
      <xdr:rowOff>19050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79484DA5-C4C4-4D5C-A7BD-BC855BF80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371475</xdr:colOff>
      <xdr:row>33</xdr:row>
      <xdr:rowOff>161925</xdr:rowOff>
    </xdr:from>
    <xdr:to>
      <xdr:col>8</xdr:col>
      <xdr:colOff>390526</xdr:colOff>
      <xdr:row>44</xdr:row>
      <xdr:rowOff>161925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6FD25045-4598-4A9F-A400-ADC25C558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161925</xdr:colOff>
      <xdr:row>30</xdr:row>
      <xdr:rowOff>0</xdr:rowOff>
    </xdr:from>
    <xdr:to>
      <xdr:col>21</xdr:col>
      <xdr:colOff>209550</xdr:colOff>
      <xdr:row>41</xdr:row>
      <xdr:rowOff>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A174C2C6-164E-4EA5-BCE1-19C1CC0A7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209550</xdr:colOff>
      <xdr:row>0</xdr:row>
      <xdr:rowOff>57150</xdr:rowOff>
    </xdr:from>
    <xdr:to>
      <xdr:col>17</xdr:col>
      <xdr:colOff>628650</xdr:colOff>
      <xdr:row>10</xdr:row>
      <xdr:rowOff>28574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131023-86BC-464A-8106-ABE098248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466724</xdr:colOff>
      <xdr:row>10</xdr:row>
      <xdr:rowOff>157163</xdr:rowOff>
    </xdr:from>
    <xdr:to>
      <xdr:col>23</xdr:col>
      <xdr:colOff>276224</xdr:colOff>
      <xdr:row>22</xdr:row>
      <xdr:rowOff>157163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4E36601F-E320-4599-8FBA-08CB8105A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666750</xdr:colOff>
      <xdr:row>3</xdr:row>
      <xdr:rowOff>5845</xdr:rowOff>
    </xdr:from>
    <xdr:to>
      <xdr:col>13</xdr:col>
      <xdr:colOff>687917</xdr:colOff>
      <xdr:row>6</xdr:row>
      <xdr:rowOff>9525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15" name="Graphique 14">
              <a:extLst>
                <a:ext uri="{FF2B5EF4-FFF2-40B4-BE49-F238E27FC236}">
                  <a16:creationId xmlns:a16="http://schemas.microsoft.com/office/drawing/2014/main" id="{E7506029-8A77-4CB6-8796-6697430354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05925" y="720220"/>
              <a:ext cx="1545167" cy="6228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22/Budget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bbdgroup.sharepoint.com/sites/AJBD/08%20%20OUTILS/Dechets_ComptaCout/Boite%20&#224;%20outils%20accompagnement%20matrices/01%20fichiers%20Excel/fichiers%202020/ADEME-FichierAuto-2020_03-XLSXv01_vierg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alyse/Ecritur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nloste\AppData\Local\Temp\Extrait%20Grand%20Livre%20CARode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patrice\Desktop\D&#233;pots\EncoursSEMARDEL_VersionAvril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ion_Supports/Direction%20Technique/D&#233;ch&#232;teries/TBM_Ecocentres_Enl&#232;veme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21/1_BudgetPrimitif/PlanDeCompte/PlanDeCompte2021-Version%20originale%20Conforme%20au%20Budget%20adopt&#233;%20au%20Comit&#233;%20du%2004%2003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ndance%20de%20d&#233;penses%20de%20budg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Balance"/>
      <sheetName val="ContribSynth"/>
      <sheetName val="ContribDétail"/>
      <sheetName val="ContribTonnes"/>
      <sheetName val="Ana"/>
      <sheetName val="DF"/>
      <sheetName val="DI"/>
      <sheetName val="RF"/>
      <sheetName val="RI"/>
      <sheetName val="Global"/>
      <sheetName val="EPCI"/>
      <sheetName val="GrilleSaisie(F)"/>
      <sheetName val="TCDF"/>
      <sheetName val="TCD(F)"/>
      <sheetName val="GrilleSaisie(I)"/>
      <sheetName val="TCDI"/>
      <sheetName val="TCD(I)"/>
      <sheetName val="Collecte"/>
      <sheetName val="RSOM1"/>
      <sheetName val="RSOM2"/>
      <sheetName val="Transfert"/>
      <sheetName val="Traitement"/>
      <sheetName val="Déchèteries"/>
      <sheetName val="DonnéesEcocentres"/>
      <sheetName val="DonnéesRotations"/>
      <sheetName val="DonnéesProfessionnels"/>
      <sheetName val="DonnéesChilly-Mazarin"/>
      <sheetName val="7478"/>
      <sheetName val="657348"/>
      <sheetName val="Population"/>
      <sheetName val="Pop+"/>
      <sheetName val="Ratios"/>
      <sheetName val="Synoptique"/>
      <sheetName val="Tarification"/>
      <sheetName val="TGAP"/>
      <sheetName val="TVA"/>
      <sheetName val="Antennes"/>
      <sheetName val="Liste"/>
      <sheetName val="Balance(1)"/>
      <sheetName val="Balance(2)"/>
      <sheetName val="Résiduels"/>
      <sheetName val="Gestionnaires"/>
      <sheetName val="Direction-Service"/>
      <sheetName val="Déchets"/>
      <sheetName val="Chapitres"/>
      <sheetName val="Natures"/>
      <sheetName val="Fon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6">
          <cell r="D16" t="str">
            <v>STRUSAL</v>
          </cell>
        </row>
        <row r="17">
          <cell r="D17" t="str">
            <v>STRUELUS</v>
          </cell>
        </row>
        <row r="18">
          <cell r="D18" t="str">
            <v>STRUCPTL</v>
          </cell>
        </row>
        <row r="19">
          <cell r="D19" t="str">
            <v>STRUSOC</v>
          </cell>
        </row>
        <row r="20">
          <cell r="D20" t="str">
            <v>STRUSIEGE</v>
          </cell>
        </row>
        <row r="21">
          <cell r="D21" t="str">
            <v>STRUIMPOTS</v>
          </cell>
        </row>
        <row r="22">
          <cell r="D22" t="str">
            <v>STRUINFO</v>
          </cell>
        </row>
        <row r="23">
          <cell r="D23" t="str">
            <v>STRUMARC</v>
          </cell>
        </row>
        <row r="24">
          <cell r="D24" t="str">
            <v>STRUHONO</v>
          </cell>
        </row>
        <row r="26">
          <cell r="D26" t="str">
            <v>COMSAL</v>
          </cell>
        </row>
        <row r="28">
          <cell r="D28" t="str">
            <v>COMMAT</v>
          </cell>
        </row>
        <row r="29">
          <cell r="D29" t="str">
            <v>PRECPAV01</v>
          </cell>
        </row>
        <row r="30">
          <cell r="D30" t="str">
            <v>PRECPAV02</v>
          </cell>
        </row>
        <row r="31">
          <cell r="D31" t="str">
            <v>PRECPAV03</v>
          </cell>
        </row>
        <row r="32">
          <cell r="D32" t="str">
            <v>PRECPAVDEP</v>
          </cell>
        </row>
        <row r="34">
          <cell r="D34" t="str">
            <v>PRECPAVINV</v>
          </cell>
        </row>
        <row r="35">
          <cell r="D35" t="str">
            <v>PRECPAP01</v>
          </cell>
        </row>
        <row r="36">
          <cell r="D36" t="str">
            <v>PRECPAP02</v>
          </cell>
        </row>
        <row r="37">
          <cell r="D37" t="str">
            <v>PRECPAP03</v>
          </cell>
        </row>
        <row r="38">
          <cell r="D38" t="str">
            <v>PRECPRESTA</v>
          </cell>
        </row>
        <row r="39">
          <cell r="D39" t="str">
            <v>BRIGSAL</v>
          </cell>
        </row>
        <row r="41">
          <cell r="D41" t="str">
            <v>BRIGMAT</v>
          </cell>
        </row>
        <row r="42">
          <cell r="D42" t="str">
            <v>COLLPAVSAL</v>
          </cell>
        </row>
        <row r="44">
          <cell r="D44" t="str">
            <v>COLLPAV01</v>
          </cell>
        </row>
        <row r="45">
          <cell r="D45" t="str">
            <v>COLLPAV02</v>
          </cell>
        </row>
        <row r="46">
          <cell r="D46" t="str">
            <v>COLLPAV03</v>
          </cell>
        </row>
        <row r="47">
          <cell r="D47" t="str">
            <v>COLLPAPSAL</v>
          </cell>
        </row>
        <row r="49">
          <cell r="D49" t="str">
            <v>COLLPAPFIX</v>
          </cell>
        </row>
        <row r="50">
          <cell r="D50" t="str">
            <v>COLLPAP01</v>
          </cell>
        </row>
        <row r="51">
          <cell r="D51" t="str">
            <v>COLLPAP02</v>
          </cell>
        </row>
        <row r="52">
          <cell r="D52" t="str">
            <v>COLLPAP03</v>
          </cell>
        </row>
        <row r="53">
          <cell r="D53" t="str">
            <v>COLLPAP04</v>
          </cell>
        </row>
        <row r="54">
          <cell r="D54" t="str">
            <v>COLLPAP08</v>
          </cell>
        </row>
        <row r="60">
          <cell r="D60" t="str">
            <v>COLLDSTBEN</v>
          </cell>
        </row>
        <row r="61">
          <cell r="D61" t="str">
            <v>COLLPRESTA</v>
          </cell>
        </row>
        <row r="62">
          <cell r="D62" t="str">
            <v>PREVSAL</v>
          </cell>
        </row>
        <row r="64">
          <cell r="D64" t="str">
            <v>PREVMAT</v>
          </cell>
        </row>
        <row r="65">
          <cell r="D65" t="str">
            <v>PREVANIM</v>
          </cell>
        </row>
        <row r="66">
          <cell r="D66" t="str">
            <v>PREVCOMPOS</v>
          </cell>
        </row>
        <row r="67">
          <cell r="D67" t="str">
            <v>ESESAL</v>
          </cell>
        </row>
        <row r="69">
          <cell r="D69" t="str">
            <v>ESEIMPOTS</v>
          </cell>
        </row>
        <row r="70">
          <cell r="D70" t="str">
            <v>ESEBATIMEN</v>
          </cell>
        </row>
        <row r="71">
          <cell r="D71" t="str">
            <v>ESEVEHICUL</v>
          </cell>
        </row>
        <row r="72">
          <cell r="D72" t="str">
            <v>ESEMAINTE</v>
          </cell>
        </row>
        <row r="73">
          <cell r="D73" t="str">
            <v>ESE01</v>
          </cell>
        </row>
        <row r="74">
          <cell r="D74" t="str">
            <v>ESE02</v>
          </cell>
        </row>
        <row r="76">
          <cell r="D76" t="str">
            <v>TRAISAL</v>
          </cell>
        </row>
        <row r="78">
          <cell r="D78" t="str">
            <v>TRAIIMPOTS</v>
          </cell>
        </row>
        <row r="79">
          <cell r="D79" t="str">
            <v>CITDUIOM</v>
          </cell>
        </row>
        <row r="82">
          <cell r="D82" t="str">
            <v>CITDDIV</v>
          </cell>
        </row>
        <row r="93">
          <cell r="D93" t="str">
            <v>HQSAL</v>
          </cell>
        </row>
        <row r="95">
          <cell r="D95" t="str">
            <v>HQBATIMEN</v>
          </cell>
        </row>
        <row r="96">
          <cell r="D96" t="str">
            <v>HQVEHICUL</v>
          </cell>
        </row>
        <row r="97">
          <cell r="D97" t="str">
            <v>HQIMPOTS</v>
          </cell>
        </row>
        <row r="98">
          <cell r="D98" t="str">
            <v>HQACCES</v>
          </cell>
        </row>
        <row r="99">
          <cell r="D99" t="str">
            <v>HQCTRLQUAL</v>
          </cell>
        </row>
        <row r="100">
          <cell r="D100" t="str">
            <v>BQEXPL</v>
          </cell>
        </row>
        <row r="101">
          <cell r="D101" t="str">
            <v>BQTRANS03</v>
          </cell>
        </row>
        <row r="102">
          <cell r="D102" t="str">
            <v>BQTRANS06</v>
          </cell>
        </row>
        <row r="103">
          <cell r="D103" t="str">
            <v>BQTRANS07</v>
          </cell>
        </row>
        <row r="104">
          <cell r="D104" t="str">
            <v>BQTRANS08</v>
          </cell>
        </row>
        <row r="105">
          <cell r="D105" t="str">
            <v>BQTRANS09</v>
          </cell>
        </row>
        <row r="106">
          <cell r="D106" t="str">
            <v>BQTRANS10</v>
          </cell>
        </row>
        <row r="107">
          <cell r="D107" t="str">
            <v>BQTRANS11</v>
          </cell>
        </row>
        <row r="108">
          <cell r="D108" t="str">
            <v>BQTRANS12</v>
          </cell>
        </row>
        <row r="109">
          <cell r="D109" t="str">
            <v>BQTRANS13</v>
          </cell>
        </row>
        <row r="110">
          <cell r="D110" t="str">
            <v>BQTRANS18</v>
          </cell>
        </row>
        <row r="111">
          <cell r="D111" t="str">
            <v>BQTRANS19</v>
          </cell>
        </row>
        <row r="112">
          <cell r="D112" t="str">
            <v>BQTRANSDIV</v>
          </cell>
        </row>
        <row r="113">
          <cell r="D113" t="str">
            <v>BQTRAIT03</v>
          </cell>
        </row>
        <row r="114">
          <cell r="D114" t="str">
            <v>BQTRAIT06</v>
          </cell>
        </row>
        <row r="115">
          <cell r="D115" t="str">
            <v>BQTRAIT07</v>
          </cell>
        </row>
        <row r="116">
          <cell r="D116" t="str">
            <v>BQTRAIT08</v>
          </cell>
        </row>
        <row r="117">
          <cell r="D117" t="str">
            <v>BQTRAIT09</v>
          </cell>
        </row>
        <row r="118">
          <cell r="D118" t="str">
            <v>BQTRAIT10</v>
          </cell>
        </row>
        <row r="119">
          <cell r="D119" t="str">
            <v>BQTRAIT11</v>
          </cell>
        </row>
        <row r="120">
          <cell r="D120" t="str">
            <v>BQTRAIT12</v>
          </cell>
        </row>
        <row r="121">
          <cell r="D121" t="str">
            <v>BQTRAIT13</v>
          </cell>
        </row>
        <row r="122">
          <cell r="D122" t="str">
            <v>BQTRAIT15</v>
          </cell>
        </row>
        <row r="123">
          <cell r="D123" t="str">
            <v>BQTRAIT16</v>
          </cell>
        </row>
        <row r="124">
          <cell r="D124" t="str">
            <v>BQTRAIT17</v>
          </cell>
        </row>
        <row r="125">
          <cell r="D125" t="str">
            <v>BQTRAIT18</v>
          </cell>
        </row>
        <row r="126">
          <cell r="D126" t="str">
            <v>BQTRAIT19</v>
          </cell>
        </row>
        <row r="127">
          <cell r="D127" t="str">
            <v>TGAPUIOM07</v>
          </cell>
        </row>
        <row r="128">
          <cell r="D128" t="str">
            <v>TGAPCSDU06</v>
          </cell>
        </row>
        <row r="129">
          <cell r="D129" t="str">
            <v>TGAPCSDU07</v>
          </cell>
        </row>
        <row r="130">
          <cell r="D130" t="str">
            <v>TGAPCSDU11</v>
          </cell>
        </row>
        <row r="131">
          <cell r="D131" t="str">
            <v>BQFIXSITR</v>
          </cell>
        </row>
        <row r="132">
          <cell r="D132" t="str">
            <v>HQFIXSITR</v>
          </cell>
        </row>
        <row r="133">
          <cell r="D133" t="str">
            <v>BQVARSITR</v>
          </cell>
        </row>
        <row r="134">
          <cell r="D134" t="str">
            <v>ALLIANCE</v>
          </cell>
        </row>
        <row r="135">
          <cell r="D135" t="str">
            <v>OCAD3E</v>
          </cell>
        </row>
        <row r="136">
          <cell r="D136" t="str">
            <v>ECOMOB</v>
          </cell>
        </row>
        <row r="137">
          <cell r="D137" t="str">
            <v>ECODDS</v>
          </cell>
        </row>
        <row r="139">
          <cell r="D139" t="str">
            <v>VALVER03</v>
          </cell>
        </row>
        <row r="140">
          <cell r="D140" t="str">
            <v>VALFERR19</v>
          </cell>
        </row>
        <row r="141">
          <cell r="D141" t="str">
            <v>VALCART18</v>
          </cell>
        </row>
        <row r="142">
          <cell r="D142" t="str">
            <v>VALGROS20</v>
          </cell>
        </row>
        <row r="143">
          <cell r="D143" t="str">
            <v>CESSIONS</v>
          </cell>
        </row>
        <row r="144">
          <cell r="D144" t="str">
            <v>RODP</v>
          </cell>
        </row>
        <row r="145">
          <cell r="D145" t="str">
            <v>GAINPROD</v>
          </cell>
        </row>
        <row r="146">
          <cell r="D146" t="str">
            <v>DECHTIERS</v>
          </cell>
        </row>
        <row r="147">
          <cell r="D147" t="str">
            <v>MECENAT</v>
          </cell>
        </row>
        <row r="148">
          <cell r="D148" t="str">
            <v>ENERGIE</v>
          </cell>
        </row>
        <row r="149">
          <cell r="D149" t="str">
            <v>MPS</v>
          </cell>
        </row>
        <row r="150">
          <cell r="D150" t="str">
            <v>CEE</v>
          </cell>
        </row>
        <row r="151">
          <cell r="D151" t="str">
            <v>LOYESE</v>
          </cell>
        </row>
        <row r="154">
          <cell r="D154" t="str">
            <v>PROFES</v>
          </cell>
        </row>
        <row r="155">
          <cell r="D155" t="str">
            <v>CHILLY</v>
          </cell>
        </row>
        <row r="161">
          <cell r="D161" t="str">
            <v>RSOM</v>
          </cell>
        </row>
        <row r="165">
          <cell r="D165" t="str">
            <v>TRISELEC</v>
          </cell>
        </row>
        <row r="169">
          <cell r="D169" t="str">
            <v>DECHETERIE</v>
          </cell>
        </row>
        <row r="171">
          <cell r="D171" t="str">
            <v>PREVENTION</v>
          </cell>
        </row>
        <row r="173">
          <cell r="D173" t="str">
            <v>CARB</v>
          </cell>
        </row>
        <row r="174">
          <cell r="D174" t="str">
            <v>BRIGEPI</v>
          </cell>
        </row>
        <row r="175">
          <cell r="D175" t="str">
            <v>TRAITEPI</v>
          </cell>
        </row>
        <row r="176">
          <cell r="D176" t="str">
            <v>ESEEPI</v>
          </cell>
        </row>
        <row r="177">
          <cell r="D177" t="str">
            <v>HQEPI</v>
          </cell>
        </row>
        <row r="178">
          <cell r="D178" t="str">
            <v>EMPRUNTS</v>
          </cell>
        </row>
        <row r="179">
          <cell r="D179" t="str">
            <v>CAPITAL</v>
          </cell>
        </row>
        <row r="180">
          <cell r="D180" t="str">
            <v>INTERETS</v>
          </cell>
        </row>
        <row r="182">
          <cell r="D182" t="str">
            <v>DOTATIONS</v>
          </cell>
        </row>
        <row r="184">
          <cell r="D184" t="str">
            <v>CHARGEEXC</v>
          </cell>
        </row>
        <row r="185">
          <cell r="D185" t="str">
            <v>SITREVA</v>
          </cell>
        </row>
        <row r="186">
          <cell r="D186" t="str">
            <v>ENCOURS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nclature"/>
      <sheetName val="Présentation générale"/>
      <sheetName val="Notice"/>
      <sheetName val="1 - Cadre matrice"/>
      <sheetName val="2 - Matrice finale"/>
      <sheetName val="TVA conventionnelle"/>
      <sheetName val="3 - Charges et produits"/>
      <sheetName val="4 - Codes matrice"/>
      <sheetName val="Matrice_Clés_multilignes"/>
      <sheetName val="TVA_Clés_lignes"/>
      <sheetName val="4 - Clé multilignes2"/>
      <sheetName val="4 - Clé multilignes3"/>
      <sheetName val="4 - Clé multilignes4"/>
      <sheetName val="4 - Clé multilignes5"/>
      <sheetName val="4 - Clé multilignes6"/>
      <sheetName val="4 - Clé multilignes7"/>
      <sheetName val="4 - Clé SALAIRES"/>
      <sheetName val="4 - Clé multilignes1"/>
      <sheetName val="Onglet VALORISATION"/>
      <sheetName val="4bis - Clé Soutiens"/>
      <sheetName val="5 - Charges à caractère général"/>
      <sheetName val="6 - Amortissements et reprises"/>
      <sheetName val="7 - Contrôle CA"/>
      <sheetName val="ADEME-FichierAuto-2020_03-XLSXv"/>
    </sheetNames>
    <sheetDataSet>
      <sheetData sheetId="0">
        <row r="1">
          <cell r="E1" t="str">
            <v>Incorporable</v>
          </cell>
        </row>
        <row r="2">
          <cell r="E2" t="str">
            <v>Non incorporable</v>
          </cell>
          <cell r="G2" t="str">
            <v>Incorporable</v>
          </cell>
          <cell r="I2" t="str">
            <v>Incorporable</v>
          </cell>
        </row>
        <row r="3">
          <cell r="E3" t="str">
            <v>Amortissement extra-comptable</v>
          </cell>
          <cell r="G3" t="str">
            <v>Non incorporable</v>
          </cell>
          <cell r="I3" t="str">
            <v>Non incorporable</v>
          </cell>
        </row>
        <row r="4">
          <cell r="E4" t="str">
            <v>Amortissement</v>
          </cell>
          <cell r="G4" t="str">
            <v>Atténuation de produit</v>
          </cell>
          <cell r="I4" t="str">
            <v>Atténuation de charge</v>
          </cell>
        </row>
        <row r="5">
          <cell r="E5" t="str">
            <v>Atténuation de charge</v>
          </cell>
          <cell r="G5" t="str">
            <v>Amortissement extra-comptable</v>
          </cell>
          <cell r="I5" t="str">
            <v>Reprise extra-comptable</v>
          </cell>
        </row>
        <row r="6">
          <cell r="E6" t="str">
            <v>Atténuation de produit</v>
          </cell>
          <cell r="G6" t="str">
            <v>Amortissement</v>
          </cell>
          <cell r="I6" t="str">
            <v>Reprise</v>
          </cell>
        </row>
        <row r="7">
          <cell r="E7" t="str">
            <v>Reprise extra-comptable</v>
          </cell>
          <cell r="G7" t="str">
            <v>Intérêts</v>
          </cell>
        </row>
        <row r="8">
          <cell r="E8" t="str">
            <v>Reprise</v>
          </cell>
        </row>
        <row r="9">
          <cell r="E9" t="str">
            <v>Supplétif</v>
          </cell>
        </row>
        <row r="10">
          <cell r="E10" t="str">
            <v>Intérêts</v>
          </cell>
        </row>
      </sheetData>
      <sheetData sheetId="1" refreshError="1"/>
      <sheetData sheetId="2" refreshError="1"/>
      <sheetData sheetId="3" refreshError="1"/>
      <sheetData sheetId="4">
        <row r="5">
          <cell r="A5" t="str">
            <v>Charges de structure</v>
          </cell>
        </row>
        <row r="6">
          <cell r="A6" t="str">
            <v>Communication</v>
          </cell>
        </row>
        <row r="7">
          <cell r="A7" t="str">
            <v>Prévention</v>
          </cell>
        </row>
        <row r="8">
          <cell r="A8" t="str">
            <v>Pré-collecte</v>
          </cell>
        </row>
        <row r="9">
          <cell r="A9" t="str">
            <v>Collecte</v>
          </cell>
        </row>
        <row r="10">
          <cell r="A10" t="str">
            <v>Transfert/Transport</v>
          </cell>
        </row>
        <row r="11">
          <cell r="A11" t="str">
            <v>Traitement des déchets non dangereux</v>
          </cell>
        </row>
        <row r="12">
          <cell r="A12" t="str">
            <v>Enlèvement et traitement des déchets dangereux</v>
          </cell>
        </row>
        <row r="23">
          <cell r="A23" t="str">
            <v>TOTAL CHARGES</v>
          </cell>
          <cell r="AA23">
            <v>0</v>
          </cell>
        </row>
        <row r="24">
          <cell r="A24" t="str">
            <v>Ventes de produits et d'énergie</v>
          </cell>
        </row>
        <row r="25">
          <cell r="A25" t="str">
            <v>Matériaux</v>
          </cell>
        </row>
        <row r="26">
          <cell r="A26" t="str">
            <v>Compost</v>
          </cell>
        </row>
        <row r="27">
          <cell r="A27" t="str">
            <v>Énergie</v>
          </cell>
        </row>
        <row r="28">
          <cell r="A28" t="str">
            <v>Prestation à des tiers</v>
          </cell>
        </row>
        <row r="29">
          <cell r="A29" t="str">
            <v>Autres produits</v>
          </cell>
        </row>
        <row r="30">
          <cell r="A30" t="str">
            <v>Tous soutiens des sociétés agréées</v>
          </cell>
        </row>
        <row r="31">
          <cell r="A31" t="str">
            <v>Reprises des subventions d'investissement</v>
          </cell>
        </row>
        <row r="32">
          <cell r="A32" t="str">
            <v>Subventions de fonctionnement</v>
          </cell>
        </row>
        <row r="33">
          <cell r="A33" t="str">
            <v>Aides à l'emploi</v>
          </cell>
        </row>
        <row r="34">
          <cell r="A34" t="str">
            <v>TOTAL PRODUITS</v>
          </cell>
          <cell r="AA34">
            <v>0</v>
          </cell>
        </row>
        <row r="35">
          <cell r="A35" t="str">
            <v>TVA acquittée</v>
          </cell>
        </row>
        <row r="36">
          <cell r="A36" t="str">
            <v>TEOM</v>
          </cell>
        </row>
        <row r="37">
          <cell r="A37" t="str">
            <v>REOM</v>
          </cell>
        </row>
        <row r="38">
          <cell r="A38" t="str">
            <v>Redevance spéciale et facturation à l'usager</v>
          </cell>
        </row>
        <row r="39">
          <cell r="A39" t="str">
            <v>Redevance spéciale</v>
          </cell>
        </row>
        <row r="40">
          <cell r="A40" t="str">
            <v>Facturation à l'usager</v>
          </cell>
        </row>
        <row r="41">
          <cell r="A41" t="str">
            <v>Contribution des collectivités</v>
          </cell>
        </row>
        <row r="42">
          <cell r="A42" t="str">
            <v>TOTAL CONTRIBUTIONS</v>
          </cell>
          <cell r="AA42">
            <v>0</v>
          </cell>
        </row>
        <row r="44">
          <cell r="A44" t="str">
            <v>Exemple : REG incinération / énergie</v>
          </cell>
        </row>
        <row r="54">
          <cell r="A54" t="str">
            <v>Code multilignes</v>
          </cell>
        </row>
      </sheetData>
      <sheetData sheetId="5" refreshError="1"/>
      <sheetData sheetId="6" refreshError="1"/>
      <sheetData sheetId="7">
        <row r="4">
          <cell r="A4" t="str">
            <v>test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77">
          <cell r="BA77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>
        <row r="3">
          <cell r="F3" t="str">
            <v>ADEME</v>
          </cell>
        </row>
      </sheetData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Gestionnaire"/>
      <sheetName val="Détail"/>
      <sheetName val="011"/>
      <sheetName val="61"/>
      <sheetName val="62"/>
      <sheetName val="6135"/>
      <sheetName val="012"/>
      <sheetName val="Salaires"/>
      <sheetName val="65"/>
      <sheetName val="657348"/>
      <sheetName val="66"/>
      <sheetName val="67"/>
      <sheetName val="70"/>
      <sheetName val="EPCI"/>
      <sheetName val="SEMARDEL"/>
      <sheetName val="TCD"/>
      <sheetName val="Ecritures"/>
      <sheetName val="Table"/>
      <sheetName val="Services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MATRICE"/>
      <sheetName val="MANDATS"/>
      <sheetName val="TITRES"/>
      <sheetName val="tx TVA"/>
    </sheetNames>
    <sheetDataSet>
      <sheetData sheetId="0">
        <row r="14">
          <cell r="A14" t="str">
            <v>Clé à déterminer</v>
          </cell>
        </row>
        <row r="15">
          <cell r="A15" t="str">
            <v>Clé ETP</v>
          </cell>
        </row>
        <row r="16">
          <cell r="A16" t="str">
            <v>Clé KM POLY</v>
          </cell>
        </row>
        <row r="17">
          <cell r="A17" t="str">
            <v>Clé KM BOM</v>
          </cell>
        </row>
        <row r="18">
          <cell r="A18" t="str">
            <v>Clé KM PL</v>
          </cell>
        </row>
        <row r="19">
          <cell r="A19" t="str">
            <v>Clé KM VL TECH</v>
          </cell>
        </row>
        <row r="20">
          <cell r="A20" t="str">
            <v>Clé KM TECH</v>
          </cell>
        </row>
        <row r="21">
          <cell r="A21" t="str">
            <v>Clé KM VL ADM</v>
          </cell>
        </row>
        <row r="22">
          <cell r="A22" t="str">
            <v>Clé KM REGIE</v>
          </cell>
        </row>
        <row r="23">
          <cell r="A23" t="str">
            <v>Clé ACT GRUE</v>
          </cell>
        </row>
        <row r="24">
          <cell r="A24" t="str">
            <v>Clé COLL DECHETERIE</v>
          </cell>
        </row>
        <row r="25">
          <cell r="A25" t="str">
            <v>Clé TRAIT DB</v>
          </cell>
        </row>
        <row r="26">
          <cell r="A26" t="str">
            <v>Clé Pré-collecte</v>
          </cell>
        </row>
        <row r="27">
          <cell r="A27" t="str">
            <v>Clé COMMUNICATION</v>
          </cell>
        </row>
        <row r="28">
          <cell r="A28" t="str">
            <v>Clé SYDOM</v>
          </cell>
        </row>
        <row r="29">
          <cell r="A29" t="str">
            <v>Clé SYDOM (Cotisation)</v>
          </cell>
        </row>
        <row r="30">
          <cell r="A30" t="str">
            <v>Clé BRALEY</v>
          </cell>
        </row>
        <row r="31">
          <cell r="A31" t="str">
            <v>Clé TEOM</v>
          </cell>
        </row>
        <row r="32">
          <cell r="A32" t="str">
            <v>Clé RS</v>
          </cell>
        </row>
        <row r="33">
          <cell r="A33" t="str">
            <v>Clé RAN N-1</v>
          </cell>
        </row>
        <row r="34">
          <cell r="A34" t="str">
            <v>Clé ANIM</v>
          </cell>
        </row>
        <row r="35">
          <cell r="A35" t="str">
            <v>Clé Tonne Papier</v>
          </cell>
        </row>
        <row r="36">
          <cell r="A36" t="str">
            <v>Clé Tonne Verre</v>
          </cell>
        </row>
        <row r="79">
          <cell r="A79" t="str">
            <v>Clé à déterminer</v>
          </cell>
        </row>
        <row r="80">
          <cell r="A80" t="str">
            <v>Clé ETP</v>
          </cell>
        </row>
        <row r="81">
          <cell r="A81" t="str">
            <v>Clé TEOM</v>
          </cell>
        </row>
        <row r="82">
          <cell r="A82" t="str">
            <v>Clé RS</v>
          </cell>
        </row>
        <row r="83">
          <cell r="A83" t="str">
            <v>Clé RAN N-1</v>
          </cell>
        </row>
        <row r="84">
          <cell r="A84" t="str">
            <v>Clé COMMUNICATION</v>
          </cell>
        </row>
        <row r="85">
          <cell r="A85" t="str">
            <v>Clé Tonne Papier</v>
          </cell>
        </row>
        <row r="86">
          <cell r="A86" t="str">
            <v>Clé Tonne Verre</v>
          </cell>
        </row>
        <row r="87">
          <cell r="A87" t="str">
            <v>Prévention</v>
          </cell>
        </row>
        <row r="88">
          <cell r="A88" t="str">
            <v>Ventes Matériaux</v>
          </cell>
        </row>
        <row r="89">
          <cell r="A89" t="str">
            <v>Ventes Compost</v>
          </cell>
        </row>
        <row r="90">
          <cell r="A90" t="str">
            <v>Ventes Energie</v>
          </cell>
        </row>
        <row r="91">
          <cell r="A91" t="str">
            <v>Prestations à des collectivités</v>
          </cell>
        </row>
        <row r="92">
          <cell r="A92" t="str">
            <v>Autres produits</v>
          </cell>
        </row>
        <row r="93">
          <cell r="A93" t="str">
            <v>Soutien accordé par les sociétés agréées</v>
          </cell>
        </row>
        <row r="94">
          <cell r="A94" t="str">
            <v>Aides "reprises" aux investissements</v>
          </cell>
        </row>
        <row r="95">
          <cell r="A95" t="str">
            <v>Aides Fonctionnement &amp; communication</v>
          </cell>
        </row>
        <row r="96">
          <cell r="A96" t="str">
            <v>Aides à l’emploi</v>
          </cell>
        </row>
        <row r="97">
          <cell r="A97" t="str">
            <v>Frais de gestion pour le recouvrement des contributions</v>
          </cell>
        </row>
        <row r="98">
          <cell r="A98" t="str">
            <v>Montant de la TVA acquittée (FCTVA déduit)</v>
          </cell>
        </row>
        <row r="99">
          <cell r="A99" t="str">
            <v>Report année n-1 (+ ou -)</v>
          </cell>
        </row>
        <row r="100">
          <cell r="A100" t="str">
            <v>TEOM</v>
          </cell>
        </row>
        <row r="101">
          <cell r="A101" t="str">
            <v>REOM</v>
          </cell>
        </row>
        <row r="102">
          <cell r="A102" t="str">
            <v>Redevance spéciale &amp; facturation usagers</v>
          </cell>
        </row>
        <row r="103">
          <cell r="A103" t="str">
            <v>Contributions des collectivités</v>
          </cell>
        </row>
        <row r="104">
          <cell r="A104" t="str">
            <v>Hors périmètre Comptacoût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Plan"/>
      <sheetName val="Encours"/>
      <sheetName val="Echéancier"/>
      <sheetName val="Echéancier (2)"/>
      <sheetName val="Graphiqu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trospective"/>
      <sheetName val="Synthèse"/>
      <sheetName val="Prix"/>
      <sheetName val="Indices"/>
      <sheetName val="Ana1"/>
      <sheetName val="Gestion - Déchets"/>
      <sheetName val="Ana2"/>
      <sheetName val="Ana3"/>
      <sheetName val="Gestion - Rotations"/>
      <sheetName val="Ana4"/>
      <sheetName val="Ana5"/>
      <sheetName val="Gestion - Fréquentation"/>
      <sheetName val="Ana6"/>
      <sheetName val="Ana7"/>
      <sheetName val="Ana8"/>
      <sheetName val="Gestion - DéchetsDangereux"/>
      <sheetName val="Ana9"/>
      <sheetName val="Ana10"/>
      <sheetName val="TBM_Ecocentres_Enlèvemen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Conventions"/>
      <sheetName val="Scenarii"/>
      <sheetName val="Population"/>
      <sheetName val="Pop_91"/>
      <sheetName val="TGAP"/>
      <sheetName val="Tarification"/>
      <sheetName val="Synoptique"/>
      <sheetName val="Gestionnaires"/>
      <sheetName val="Direction-Service"/>
      <sheetName val="Antennes"/>
      <sheetName val="Déchets"/>
      <sheetName val="Balance(1)"/>
      <sheetName val="Balance(2)"/>
      <sheetName val="GrilleSaisie(F)"/>
      <sheetName val="TCD(F)"/>
      <sheetName val="GrilleSaisie(I)"/>
      <sheetName val="TCD(I)"/>
      <sheetName val="Equilibre"/>
      <sheetName val="Codification"/>
      <sheetName val="PartFixe"/>
      <sheetName val="Ctrl"/>
      <sheetName val="Carte_Collecte&amp;Traitement"/>
      <sheetName val="Global_Collecte&amp;Traitement"/>
      <sheetName val="Détail_Collecte&amp;Traitement"/>
      <sheetName val="Carte_Traitement"/>
      <sheetName val="Global_Traitement"/>
      <sheetName val="Détail_Traitement"/>
      <sheetName val="€hab"/>
      <sheetName val="ImpactForfait"/>
      <sheetName val="ImpactForfait (2)"/>
      <sheetName val="Global"/>
      <sheetName val="CPS"/>
      <sheetName val="NOZ"/>
      <sheetName val="CEA"/>
      <sheetName val="GOS"/>
      <sheetName val="SVY"/>
      <sheetName val="GPS"/>
      <sheetName val="VET"/>
      <sheetName val="PL"/>
      <sheetName val="VEL"/>
      <sheetName val="DH"/>
      <sheetName val="EJH"/>
      <sheetName val="ESC"/>
      <sheetName val="EJT"/>
      <sheetName val="EST"/>
      <sheetName val="SED"/>
      <sheetName val="SF"/>
      <sheetName val="FON"/>
      <sheetName val="Investissements"/>
      <sheetName val="Dette"/>
      <sheetName val="E21"/>
      <sheetName val="TEOM"/>
      <sheetName val="Ratios"/>
      <sheetName val="Pré-Coll"/>
      <sheetName val="Coll_Nord"/>
      <sheetName val="Coll_Sud"/>
      <sheetName val="Coll_Hur"/>
      <sheetName val="RSOM"/>
      <sheetName val="Transfert"/>
      <sheetName val="Traitement"/>
      <sheetName val="ImpactTraitement"/>
      <sheetName val="DECH_HUR"/>
      <sheetName val="Analyse(passages)"/>
      <sheetName val="Données 2021"/>
      <sheetName val="DECH_SIR"/>
      <sheetName val="DECH5050"/>
      <sheetName val="Résiduels"/>
      <sheetName val="Personnel"/>
      <sheetName val="Perso_Clé"/>
      <sheetName val="7478"/>
      <sheetName val="657348"/>
      <sheetName val="13"/>
      <sheetName val="Chapitres"/>
      <sheetName val="Natures"/>
      <sheetName val="Fon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6">
          <cell r="D16" t="str">
            <v>STRUSAL</v>
          </cell>
        </row>
        <row r="25">
          <cell r="D25" t="str">
            <v>STRUFINAN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ils"/>
      <sheetName val="jan"/>
      <sheetName val="fév"/>
      <sheetName val="mar"/>
      <sheetName val="avr"/>
      <sheetName val="mai"/>
      <sheetName val="juin"/>
      <sheetName val="juil"/>
      <sheetName val="aoû"/>
      <sheetName val="sep"/>
      <sheetName val="oct"/>
      <sheetName val="nov"/>
      <sheetName val="déc"/>
      <sheetName val="Tendance de dépenses de budget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runo PATRICE" id="{3E9B268B-E72B-4961-95A9-D2D05F16335B}" userId="S::bpatrice@siredom.com::c7967b25-5b17-4680-827a-85b6be1be0d2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4" dT="2021-11-05T09:08:15.54" personId="{3E9B268B-E72B-4961-95A9-D2D05F16335B}" id="{BA2BD117-6120-445E-9927-47B19141AB80}">
    <text>Fin du protocole BEA sur l'exercice.</text>
  </threadedComment>
  <threadedComment ref="I24" dT="2021-11-05T08:20:49.04" personId="{3E9B268B-E72B-4961-95A9-D2D05F16335B}" id="{96406B82-48E6-4E95-B127-49F44C6B4CF3}">
    <text>Dernière année concernant le volet SITREVA Arpajonnais.</text>
  </threadedComment>
  <threadedComment ref="J24" dT="2021-11-05T08:20:07.85" personId="{3E9B268B-E72B-4961-95A9-D2D05F16335B}" id="{042535CF-47A1-455A-8312-78257B75413C}">
    <text>Fin du protocole encours SEMARDEL. Prévision financement remboursement CITEO N-2 à hauteur de 5,377 M€</text>
  </threadedComment>
  <threadedComment ref="H26" dT="2021-11-05T08:47:37.31" personId="{3E9B268B-E72B-4961-95A9-D2D05F16335B}" id="{E2AB267F-62E8-4D3F-A30D-6AEB97675985}">
    <text>Augmentation des coûts de collecte suite à l'arrêt de l'Ecosite Sud Essonne (majoration du P0 de 18,11 €/t hors actualisation des indices.</text>
  </threadedComment>
  <threadedComment ref="O26" dT="2021-11-05T08:30:57.71" personId="{3E9B268B-E72B-4961-95A9-D2D05F16335B}" id="{92C68924-A834-4690-BE6D-7045B5F3D8EB}">
    <text>Abandon de la compétence collecte au 1er juin 2024 pour le périmètre hors Hurepoix.</text>
  </threadedComment>
  <threadedComment ref="O28" dT="2021-11-05T08:30:16.17" personId="{3E9B268B-E72B-4961-95A9-D2D05F16335B}" id="{66411118-F4A5-4593-ACEF-CD3D160856D1}">
    <text>Passage des investissements dans les éléments techniques.</text>
  </threadedComment>
  <threadedComment ref="O29" dT="2021-11-05T08:30:23.97" personId="{3E9B268B-E72B-4961-95A9-D2D05F16335B}" id="{9034861C-7F70-49CB-8D93-4A0F2107AC2D}">
    <text>Passage des investissements dans les éléments techniques.</text>
  </threadedComment>
  <threadedComment ref="M38" dT="2021-11-05T09:07:47.66" personId="{3E9B268B-E72B-4961-95A9-D2D05F16335B}" id="{BA409E15-17B2-41AB-9D3A-4F68612ED53C}">
    <text>Impact 1M€ suite incitation aux économies d'energie (CEE) + les interessements à la vente des MPS (0,7 M€) et la vente d'energie (0,2M€).</text>
  </threadedComment>
  <threadedComment ref="N38" dT="2021-10-22T14:25:28.94" personId="{3E9B268B-E72B-4961-95A9-D2D05F16335B}" id="{FD4542CA-985A-424D-AB74-D83B1F4B56DE}">
    <text>Impact des 1M€ CEE et 190 K€ solde CITEO uniquement sur 2022 (one-shot)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1" dT="2021-10-22T10:15:56.36" personId="{3E9B268B-E72B-4961-95A9-D2D05F16335B}" id="{BD8E5984-722C-4393-9142-485E58C2329A}">
    <text>Ajustement à fin juin 2021</text>
  </threadedComment>
  <threadedComment ref="B40" dT="2021-10-22T10:16:53.35" personId="{3E9B268B-E72B-4961-95A9-D2D05F16335B}" id="{820F8D52-A29C-4419-B9B0-586A2521E428}">
    <text>Projection effectuée à partir de l'ajustement à fin juin avec application du coefficient fois 2.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175D-CF50-4CB0-95F3-905B5C3400C7}">
  <sheetPr>
    <pageSetUpPr fitToPage="1"/>
  </sheetPr>
  <dimension ref="A1:Q47"/>
  <sheetViews>
    <sheetView showGridLines="0" showRowColHeaders="0" tabSelected="1" topLeftCell="A18" zoomScaleNormal="100" workbookViewId="0">
      <selection activeCell="A18" sqref="A18"/>
    </sheetView>
  </sheetViews>
  <sheetFormatPr baseColWidth="10" defaultRowHeight="14.25" x14ac:dyDescent="0.2"/>
  <cols>
    <col min="1" max="1" width="4.28515625" style="1" customWidth="1"/>
    <col min="2" max="2" width="2.140625" style="1" customWidth="1"/>
    <col min="3" max="3" width="13" style="1" customWidth="1"/>
    <col min="4" max="4" width="29.5703125" style="1" bestFit="1" customWidth="1"/>
    <col min="5" max="5" width="18.85546875" style="1" bestFit="1" customWidth="1"/>
    <col min="6" max="7" width="15.7109375" style="1" customWidth="1"/>
    <col min="8" max="9" width="18.85546875" style="1" bestFit="1" customWidth="1"/>
    <col min="10" max="10" width="15.7109375" style="1" customWidth="1"/>
    <col min="11" max="11" width="2.140625" style="1" customWidth="1"/>
    <col min="12" max="15" width="15.85546875" style="1" customWidth="1"/>
    <col min="16" max="16" width="3.28515625" style="38" bestFit="1" customWidth="1"/>
    <col min="17" max="17" width="15.7109375" style="1" customWidth="1"/>
    <col min="18" max="16384" width="11.42578125" style="1"/>
  </cols>
  <sheetData>
    <row r="1" spans="1:2" hidden="1" x14ac:dyDescent="0.2">
      <c r="A1" s="33" t="s">
        <v>4</v>
      </c>
      <c r="B1" s="33">
        <v>0</v>
      </c>
    </row>
    <row r="2" spans="1:2" hidden="1" x14ac:dyDescent="0.2">
      <c r="A2" s="33" t="s">
        <v>6</v>
      </c>
      <c r="B2" s="33">
        <v>1</v>
      </c>
    </row>
    <row r="3" spans="1:2" hidden="1" x14ac:dyDescent="0.2">
      <c r="A3" s="33" t="s">
        <v>8</v>
      </c>
      <c r="B3" s="33">
        <v>2</v>
      </c>
    </row>
    <row r="4" spans="1:2" hidden="1" x14ac:dyDescent="0.2">
      <c r="A4" s="33" t="s">
        <v>10</v>
      </c>
      <c r="B4" s="33">
        <v>3</v>
      </c>
    </row>
    <row r="5" spans="1:2" hidden="1" x14ac:dyDescent="0.2">
      <c r="A5" s="33" t="s">
        <v>12</v>
      </c>
      <c r="B5" s="33">
        <v>4</v>
      </c>
    </row>
    <row r="6" spans="1:2" hidden="1" x14ac:dyDescent="0.2">
      <c r="A6" s="33" t="s">
        <v>14</v>
      </c>
      <c r="B6" s="33">
        <v>5</v>
      </c>
    </row>
    <row r="7" spans="1:2" hidden="1" x14ac:dyDescent="0.2">
      <c r="A7" s="33" t="s">
        <v>18</v>
      </c>
      <c r="B7" s="33">
        <v>6</v>
      </c>
    </row>
    <row r="8" spans="1:2" hidden="1" x14ac:dyDescent="0.2">
      <c r="A8" s="33" t="s">
        <v>20</v>
      </c>
      <c r="B8" s="33">
        <v>7</v>
      </c>
    </row>
    <row r="9" spans="1:2" hidden="1" x14ac:dyDescent="0.2">
      <c r="A9" s="33" t="s">
        <v>21</v>
      </c>
      <c r="B9" s="33">
        <v>8</v>
      </c>
    </row>
    <row r="10" spans="1:2" hidden="1" x14ac:dyDescent="0.2">
      <c r="A10" s="33" t="s">
        <v>23</v>
      </c>
      <c r="B10" s="33">
        <v>9</v>
      </c>
    </row>
    <row r="11" spans="1:2" hidden="1" x14ac:dyDescent="0.2">
      <c r="A11" s="33" t="s">
        <v>25</v>
      </c>
      <c r="B11" s="33">
        <v>10</v>
      </c>
    </row>
    <row r="12" spans="1:2" hidden="1" x14ac:dyDescent="0.2">
      <c r="A12" s="33" t="s">
        <v>27</v>
      </c>
      <c r="B12" s="33">
        <v>11</v>
      </c>
    </row>
    <row r="13" spans="1:2" hidden="1" x14ac:dyDescent="0.2">
      <c r="A13" s="33" t="s">
        <v>28</v>
      </c>
      <c r="B13" s="33">
        <v>12</v>
      </c>
    </row>
    <row r="14" spans="1:2" hidden="1" x14ac:dyDescent="0.2">
      <c r="A14" s="33" t="s">
        <v>29</v>
      </c>
      <c r="B14" s="33">
        <v>13</v>
      </c>
    </row>
    <row r="15" spans="1:2" hidden="1" x14ac:dyDescent="0.2">
      <c r="A15" s="33" t="s">
        <v>31</v>
      </c>
      <c r="B15" s="33">
        <v>14</v>
      </c>
    </row>
    <row r="16" spans="1:2" hidden="1" x14ac:dyDescent="0.2">
      <c r="A16" s="33" t="s">
        <v>34</v>
      </c>
      <c r="B16" s="33">
        <v>15</v>
      </c>
    </row>
    <row r="17" spans="1:17" hidden="1" x14ac:dyDescent="0.2">
      <c r="A17" s="33" t="s">
        <v>111</v>
      </c>
      <c r="B17" s="33">
        <v>16</v>
      </c>
    </row>
    <row r="18" spans="1:17" x14ac:dyDescent="0.2">
      <c r="A18" s="33"/>
      <c r="B18" s="33"/>
    </row>
    <row r="19" spans="1:17" ht="22.5" x14ac:dyDescent="0.3">
      <c r="A19" s="33"/>
      <c r="B19" s="33"/>
      <c r="C19" s="150" t="s">
        <v>211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</row>
    <row r="21" spans="1:17" s="47" customFormat="1" ht="22.5" customHeight="1" x14ac:dyDescent="0.25">
      <c r="A21" s="51">
        <f>VLOOKUP(E21,A1:B17,2,FALSE)</f>
        <v>16</v>
      </c>
      <c r="D21" s="49" t="s">
        <v>110</v>
      </c>
      <c r="E21" s="50" t="s">
        <v>111</v>
      </c>
      <c r="F21" s="148" t="str">
        <f>VLOOKUP(E21,Contributions!D3:E19,2,FALSE)</f>
        <v>Ensemble des EPCI</v>
      </c>
      <c r="G21" s="149"/>
      <c r="H21" s="149"/>
      <c r="P21" s="41"/>
    </row>
    <row r="23" spans="1:17" ht="37.5" customHeight="1" x14ac:dyDescent="0.2">
      <c r="C23" s="145" t="s">
        <v>80</v>
      </c>
      <c r="D23" s="52" t="s">
        <v>76</v>
      </c>
      <c r="E23" s="53" t="s">
        <v>37</v>
      </c>
      <c r="F23" s="53" t="s">
        <v>38</v>
      </c>
      <c r="G23" s="53" t="s">
        <v>39</v>
      </c>
      <c r="H23" s="53" t="s">
        <v>106</v>
      </c>
      <c r="I23" s="53" t="s">
        <v>107</v>
      </c>
      <c r="J23" s="54" t="s">
        <v>108</v>
      </c>
      <c r="L23" s="55" t="s">
        <v>86</v>
      </c>
      <c r="M23" s="53" t="s">
        <v>87</v>
      </c>
      <c r="N23" s="53" t="s">
        <v>105</v>
      </c>
      <c r="O23" s="54" t="s">
        <v>109</v>
      </c>
      <c r="P23" s="39"/>
    </row>
    <row r="24" spans="1:17" s="47" customFormat="1" ht="37.5" customHeight="1" x14ac:dyDescent="0.25">
      <c r="C24" s="146"/>
      <c r="D24" s="141" t="s">
        <v>74</v>
      </c>
      <c r="E24" s="99">
        <f ca="1">OFFSET(Contributions!G3,ElémentsTechniques!A21,0)</f>
        <v>20010116.79116305</v>
      </c>
      <c r="F24" s="99">
        <f ca="1">OFFSET(Contributions!G22,ElémentsTechniques!A21,0)</f>
        <v>38818.400000000001</v>
      </c>
      <c r="G24" s="99">
        <f ca="1">OFFSET(Contributions!G41,ElémentsTechniques!A21,0)</f>
        <v>20048935.191163041</v>
      </c>
      <c r="H24" s="99">
        <f ca="1">OFFSET(Contributions!G60,ElémentsTechniques!A21,0)</f>
        <v>20118340</v>
      </c>
      <c r="I24" s="99">
        <f ca="1">OFFSET(Contributions!G79,ElémentsTechniques!A21,0)</f>
        <v>20178568.759999994</v>
      </c>
      <c r="J24" s="100">
        <f ca="1">OFFSET(Contributions!G98,ElémentsTechniques!A21,0)</f>
        <v>13799625.103315094</v>
      </c>
      <c r="L24" s="116">
        <f t="shared" ref="L24:L33" ca="1" si="0">H24-E24</f>
        <v>108223.20883695036</v>
      </c>
      <c r="M24" s="99">
        <f t="shared" ref="M24:M33" ca="1" si="1">H24-G24</f>
        <v>69404.808836959302</v>
      </c>
      <c r="N24" s="99">
        <f t="shared" ref="N24:N33" ca="1" si="2">I24-H24</f>
        <v>60228.759999994189</v>
      </c>
      <c r="O24" s="100">
        <f t="shared" ref="O24:O33" ca="1" si="3">J24-I24</f>
        <v>-6378943.6566848997</v>
      </c>
      <c r="P24" s="41"/>
    </row>
    <row r="25" spans="1:17" s="47" customFormat="1" ht="37.5" customHeight="1" x14ac:dyDescent="0.25">
      <c r="C25" s="146"/>
      <c r="D25" s="141" t="s">
        <v>49</v>
      </c>
      <c r="E25" s="101">
        <v>22</v>
      </c>
      <c r="F25" s="101"/>
      <c r="G25" s="101">
        <v>22</v>
      </c>
      <c r="H25" s="101">
        <v>22</v>
      </c>
      <c r="I25" s="101">
        <v>22</v>
      </c>
      <c r="J25" s="102">
        <v>15</v>
      </c>
      <c r="L25" s="117">
        <f t="shared" si="0"/>
        <v>0</v>
      </c>
      <c r="M25" s="101">
        <f t="shared" si="1"/>
        <v>0</v>
      </c>
      <c r="N25" s="101">
        <f t="shared" si="2"/>
        <v>0</v>
      </c>
      <c r="O25" s="102">
        <f t="shared" si="3"/>
        <v>-7</v>
      </c>
      <c r="P25" s="41"/>
    </row>
    <row r="26" spans="1:17" s="47" customFormat="1" ht="37.5" customHeight="1" x14ac:dyDescent="0.25">
      <c r="C26" s="146"/>
      <c r="D26" s="138" t="s">
        <v>44</v>
      </c>
      <c r="E26" s="103">
        <f ca="1">OFFSET(Contributions!H3,ElémentsTechniques!A21,0)-OFFSET(Contributions!Y3,ElémentsTechniques!A21,0)</f>
        <v>5546242.5198922521</v>
      </c>
      <c r="F26" s="103">
        <f ca="1">OFFSET(Contributions!H22,ElémentsTechniques!A21,0)-OFFSET(Contributions!Y22,ElémentsTechniques!A21,0)</f>
        <v>469980.76000000013</v>
      </c>
      <c r="G26" s="103">
        <f ca="1">OFFSET(Contributions!H41,ElémentsTechniques!A21,0)-OFFSET(Contributions!Y41,ElémentsTechniques!A21,0)</f>
        <v>6016223.2798922528</v>
      </c>
      <c r="H26" s="103">
        <f ca="1">OFFSET(Contributions!H60,ElémentsTechniques!A21,0)-OFFSET(Contributions!Y60,ElémentsTechniques!A21,0)</f>
        <v>6541517.0000000009</v>
      </c>
      <c r="I26" s="103">
        <f ca="1">OFFSET(Contributions!H79,ElémentsTechniques!A21,0)-OFFSET(Contributions!Y79,ElémentsTechniques!A21,0)</f>
        <v>6724764.4479999999</v>
      </c>
      <c r="J26" s="104">
        <f ca="1">OFFSET(Contributions!H98,ElémentsTechniques!A21,0)-OFFSET(Contributions!Y98,ElémentsTechniques!A21,0)</f>
        <v>5845994.5120000001</v>
      </c>
      <c r="L26" s="118">
        <f t="shared" ca="1" si="0"/>
        <v>995274.48010774888</v>
      </c>
      <c r="M26" s="103">
        <f t="shared" ca="1" si="1"/>
        <v>525293.72010774817</v>
      </c>
      <c r="N26" s="103">
        <f t="shared" ca="1" si="2"/>
        <v>183247.44799999893</v>
      </c>
      <c r="O26" s="104">
        <f t="shared" ca="1" si="3"/>
        <v>-878769.93599999975</v>
      </c>
      <c r="P26" s="41"/>
      <c r="Q26" s="48"/>
    </row>
    <row r="27" spans="1:17" s="47" customFormat="1" ht="37.5" customHeight="1" x14ac:dyDescent="0.25">
      <c r="C27" s="146"/>
      <c r="D27" s="142" t="s">
        <v>178</v>
      </c>
      <c r="E27" s="105">
        <f ca="1">OFFSET(Contributions!I3,ElémentsTechniques!A21,0)-OFFSET(Contributions!Z3,ElémentsTechniques!A21,0)</f>
        <v>813622.94926700601</v>
      </c>
      <c r="F27" s="105">
        <f ca="1">OFFSET(Contributions!I22,ElémentsTechniques!A21,0)-OFFSET(Contributions!Z22,ElémentsTechniques!A21,0)</f>
        <v>-8988.6851990300056</v>
      </c>
      <c r="G27" s="105">
        <f ca="1">OFFSET(Contributions!I41,ElémentsTechniques!A21,0)-OFFSET(Contributions!Z41,ElémentsTechniques!A21,0)</f>
        <v>804634.26406797604</v>
      </c>
      <c r="H27" s="105"/>
      <c r="I27" s="105"/>
      <c r="J27" s="106"/>
      <c r="L27" s="119">
        <f t="shared" ca="1" si="0"/>
        <v>-813622.94926700601</v>
      </c>
      <c r="M27" s="105">
        <f t="shared" ca="1" si="1"/>
        <v>-804634.26406797604</v>
      </c>
      <c r="N27" s="105">
        <f t="shared" si="2"/>
        <v>0</v>
      </c>
      <c r="O27" s="106">
        <f t="shared" si="3"/>
        <v>0</v>
      </c>
      <c r="P27" s="41"/>
      <c r="Q27" s="48"/>
    </row>
    <row r="28" spans="1:17" s="47" customFormat="1" ht="37.5" customHeight="1" x14ac:dyDescent="0.25">
      <c r="C28" s="146"/>
      <c r="D28" s="139" t="s">
        <v>46</v>
      </c>
      <c r="E28" s="107">
        <f ca="1">OFFSET(Contributions!J3,ElémentsTechniques!A21,0)-OFFSET(Contributions!AA3,ElémentsTechniques!A21,0)</f>
        <v>26402669.237547483</v>
      </c>
      <c r="F28" s="107">
        <f ca="1">OFFSET(Contributions!J22,ElémentsTechniques!A21,0)-OFFSET(Contributions!AA22,ElémentsTechniques!A21,0)</f>
        <v>-378802.40721872804</v>
      </c>
      <c r="G28" s="107">
        <f ca="1">OFFSET(Contributions!J41,ElémentsTechniques!A21,0)-OFFSET(Contributions!AA41,ElémentsTechniques!A21,0)</f>
        <v>26023866.830328759</v>
      </c>
      <c r="H28" s="107">
        <f ca="1">OFFSET(Contributions!J60,ElémentsTechniques!A21,0)-OFFSET(Contributions!AA60,ElémentsTechniques!A21,0)+OFFSET(Contributions!I60,ElémentsTechniques!A21,0)-OFFSET(Contributions!Z60,ElémentsTechniques!A21,0)</f>
        <v>26877899.000000007</v>
      </c>
      <c r="I28" s="107">
        <f ca="1">OFFSET(Contributions!J79,ElémentsTechniques!A21,0)-OFFSET(Contributions!AA79,ElémentsTechniques!A21,0)+OFFSET(Contributions!I79,ElémentsTechniques!A21,0)-OFFSET(Contributions!Z79,ElémentsTechniques!A21,0)</f>
        <v>27191830.759999994</v>
      </c>
      <c r="J28" s="108">
        <f ca="1">OFFSET(Contributions!J98,ElémentsTechniques!A21,0)-OFFSET(Contributions!AA98,ElémentsTechniques!A21,0)+OFFSET(Contributions!I98,ElémentsTechniques!A21,0)-OFFSET(Contributions!Z98,ElémentsTechniques!A21,0)</f>
        <v>27757776.520000003</v>
      </c>
      <c r="L28" s="120">
        <f t="shared" ca="1" si="0"/>
        <v>475229.76245252416</v>
      </c>
      <c r="M28" s="107">
        <f t="shared" ca="1" si="1"/>
        <v>854032.16967124864</v>
      </c>
      <c r="N28" s="107">
        <f t="shared" ca="1" si="2"/>
        <v>313931.75999998674</v>
      </c>
      <c r="O28" s="108">
        <f t="shared" ca="1" si="3"/>
        <v>565945.76000000909</v>
      </c>
      <c r="P28" s="41"/>
    </row>
    <row r="29" spans="1:17" s="47" customFormat="1" ht="37.5" customHeight="1" x14ac:dyDescent="0.25">
      <c r="C29" s="146"/>
      <c r="D29" s="140" t="s">
        <v>47</v>
      </c>
      <c r="E29" s="109">
        <f ca="1">OFFSET(Contributions!K3,ElémentsTechniques!A21,0)-OFFSET(Contributions!AB3,ElémentsTechniques!A21,0)</f>
        <v>15688989.844936</v>
      </c>
      <c r="F29" s="109">
        <f ca="1">OFFSET(Contributions!K22,ElémentsTechniques!A21,0)-OFFSET(Contributions!AB22,ElémentsTechniques!A21,0)</f>
        <v>3147827.4860000005</v>
      </c>
      <c r="G29" s="109">
        <f ca="1">OFFSET(Contributions!K41,ElémentsTechniques!A21,0)-OFFSET(Contributions!AB41,ElémentsTechniques!A21,0)</f>
        <v>18836817.330935985</v>
      </c>
      <c r="H29" s="109">
        <f ca="1">OFFSET(Contributions!K60,ElémentsTechniques!A21,0)-OFFSET(Contributions!AB60,ElémentsTechniques!A21,0)</f>
        <v>19848705.000000004</v>
      </c>
      <c r="I29" s="109">
        <f ca="1">OFFSET(Contributions!K79,ElémentsTechniques!A21,0)-OFFSET(Contributions!AB79,ElémentsTechniques!A21,0)</f>
        <v>20118938.580000006</v>
      </c>
      <c r="J29" s="110">
        <f ca="1">OFFSET(Contributions!K98,ElémentsTechniques!A21,0)-OFFSET(Contributions!AB98,ElémentsTechniques!A21,0)</f>
        <v>22168453.159999996</v>
      </c>
      <c r="L29" s="121">
        <f t="shared" ca="1" si="0"/>
        <v>4159715.1550640035</v>
      </c>
      <c r="M29" s="109">
        <f t="shared" ca="1" si="1"/>
        <v>1011887.6690640189</v>
      </c>
      <c r="N29" s="109">
        <f t="shared" ca="1" si="2"/>
        <v>270233.58000000194</v>
      </c>
      <c r="O29" s="110">
        <f t="shared" ca="1" si="3"/>
        <v>2049514.5799999908</v>
      </c>
      <c r="P29" s="41"/>
      <c r="Q29" s="48"/>
    </row>
    <row r="30" spans="1:17" s="47" customFormat="1" ht="37.5" customHeight="1" x14ac:dyDescent="0.25">
      <c r="C30" s="146"/>
      <c r="D30" s="143" t="s">
        <v>179</v>
      </c>
      <c r="E30" s="111">
        <f ca="1">SUM(E31:E33)</f>
        <v>11455428.021123782</v>
      </c>
      <c r="F30" s="111">
        <f ca="1">SUM(F31:F33)</f>
        <v>-739175.93999999971</v>
      </c>
      <c r="G30" s="111">
        <f t="shared" ref="G30:J30" ca="1" si="4">SUM(G31:G33)</f>
        <v>10716252.08112378</v>
      </c>
      <c r="H30" s="111">
        <f t="shared" ca="1" si="4"/>
        <v>13097652.126069613</v>
      </c>
      <c r="I30" s="111">
        <f t="shared" ca="1" si="4"/>
        <v>14135300.244669441</v>
      </c>
      <c r="J30" s="112">
        <f t="shared" ca="1" si="4"/>
        <v>14535064.364897205</v>
      </c>
      <c r="L30" s="122">
        <f t="shared" ref="L30:O30" ca="1" si="5">SUM(L31:L33)</f>
        <v>1642224.1049458331</v>
      </c>
      <c r="M30" s="111">
        <f t="shared" ca="1" si="5"/>
        <v>2381400.0449458333</v>
      </c>
      <c r="N30" s="111">
        <f t="shared" ca="1" si="5"/>
        <v>1037648.1185998274</v>
      </c>
      <c r="O30" s="112">
        <f t="shared" ca="1" si="5"/>
        <v>399764.1202277625</v>
      </c>
      <c r="P30" s="41"/>
      <c r="Q30" s="48"/>
    </row>
    <row r="31" spans="1:17" s="126" customFormat="1" ht="14.25" customHeight="1" x14ac:dyDescent="0.2">
      <c r="C31" s="146"/>
      <c r="D31" s="127" t="s">
        <v>75</v>
      </c>
      <c r="E31" s="128">
        <f ca="1">OFFSET(Contributions!L3,ElémentsTechniques!A21,0)</f>
        <v>2904432.431123781</v>
      </c>
      <c r="F31" s="128">
        <f ca="1">OFFSET(Contributions!L22,ElémentsTechniques!A21,0)</f>
        <v>-385301.07999999996</v>
      </c>
      <c r="G31" s="128">
        <f ca="1">OFFSET(Contributions!L41,ElémentsTechniques!A21,0)</f>
        <v>2519131.3511237809</v>
      </c>
      <c r="H31" s="128">
        <f ca="1">OFFSET(Contributions!L60,ElémentsTechniques!A21,0)</f>
        <v>3464027.9999999995</v>
      </c>
      <c r="I31" s="128">
        <f ca="1">OFFSET(Contributions!L79,ElémentsTechniques!A21,0)</f>
        <v>3937464.0000000014</v>
      </c>
      <c r="J31" s="129">
        <f ca="1">OFFSET(Contributions!L98,ElémentsTechniques!A21,0)</f>
        <v>4577438.9999999991</v>
      </c>
      <c r="K31" s="130"/>
      <c r="L31" s="131">
        <f ca="1">H31-E31</f>
        <v>559595.56887621852</v>
      </c>
      <c r="M31" s="128">
        <f ca="1">H31-G31</f>
        <v>944896.64887621859</v>
      </c>
      <c r="N31" s="128">
        <f ca="1">I31-H31</f>
        <v>473436.00000000186</v>
      </c>
      <c r="O31" s="129">
        <f ca="1">J31-I31</f>
        <v>639974.99999999767</v>
      </c>
      <c r="P31" s="130"/>
    </row>
    <row r="32" spans="1:17" s="126" customFormat="1" ht="14.25" customHeight="1" x14ac:dyDescent="0.2">
      <c r="C32" s="146"/>
      <c r="D32" s="127" t="s">
        <v>79</v>
      </c>
      <c r="E32" s="128">
        <f ca="1">OFFSET(Contributions!M3,ElémentsTechniques!A21,0)</f>
        <v>1492996.9999999998</v>
      </c>
      <c r="F32" s="128">
        <f ca="1">OFFSET(Contributions!M22,ElémentsTechniques!A21,0)</f>
        <v>327706.96000000008</v>
      </c>
      <c r="G32" s="128">
        <f ca="1">OFFSET(Contributions!M41,ElémentsTechniques!A21,0)</f>
        <v>1820703.96</v>
      </c>
      <c r="H32" s="128">
        <f ca="1">OFFSET(Contributions!M60,ElémentsTechniques!A21,0)</f>
        <v>2972971.0000000014</v>
      </c>
      <c r="I32" s="128">
        <f ca="1">OFFSET(Contributions!M79,ElémentsTechniques!A21,0)</f>
        <v>3767483.0000000014</v>
      </c>
      <c r="J32" s="129">
        <f ca="1">OFFSET(Contributions!M98,ElémentsTechniques!A21,0)</f>
        <v>4287893</v>
      </c>
      <c r="K32" s="130"/>
      <c r="L32" s="131">
        <f t="shared" ca="1" si="0"/>
        <v>1479974.0000000016</v>
      </c>
      <c r="M32" s="128">
        <f t="shared" ca="1" si="1"/>
        <v>1152267.0400000014</v>
      </c>
      <c r="N32" s="128">
        <f t="shared" ca="1" si="2"/>
        <v>794512</v>
      </c>
      <c r="O32" s="129">
        <f t="shared" ca="1" si="3"/>
        <v>520409.9999999986</v>
      </c>
    </row>
    <row r="33" spans="3:17" s="126" customFormat="1" ht="14.25" customHeight="1" x14ac:dyDescent="0.2">
      <c r="C33" s="146"/>
      <c r="D33" s="132" t="s">
        <v>48</v>
      </c>
      <c r="E33" s="133">
        <f ca="1">OFFSET(Contributions!N3,ElémentsTechniques!A21,0)+OFFSET(Contributions!O3,ElémentsTechniques!A21,0)+OFFSET(Contributions!P3,ElémentsTechniques!A21,0)</f>
        <v>7057998.5899999999</v>
      </c>
      <c r="F33" s="133">
        <f ca="1">OFFSET(Contributions!N22,ElémentsTechniques!A21,0)+OFFSET(Contributions!O22,ElémentsTechniques!A21,0)+OFFSET(Contributions!P22,ElémentsTechniques!A21,0)</f>
        <v>-681581.81999999983</v>
      </c>
      <c r="G33" s="133">
        <f ca="1">OFFSET(Contributions!N41,ElémentsTechniques!A21,0)+OFFSET(Contributions!O41,ElémentsTechniques!A21,0)+OFFSET(Contributions!P41,ElémentsTechniques!A21,0)</f>
        <v>6376416.7699999996</v>
      </c>
      <c r="H33" s="133">
        <f ca="1">OFFSET(Contributions!N60,ElémentsTechniques!A21,0)+OFFSET(Contributions!O60,ElémentsTechniques!A21,0)+OFFSET(Contributions!P60,ElémentsTechniques!A21,0)</f>
        <v>6660653.1260696128</v>
      </c>
      <c r="I33" s="133">
        <f ca="1">OFFSET(Contributions!N79,ElémentsTechniques!A21,0)+OFFSET(Contributions!O79,ElémentsTechniques!A21,0)+OFFSET(Contributions!P79,ElémentsTechniques!A21,0)</f>
        <v>6430353.2446694383</v>
      </c>
      <c r="J33" s="134">
        <f ca="1">OFFSET(Contributions!N98,ElémentsTechniques!A21,0)+OFFSET(Contributions!O98,ElémentsTechniques!A21,0)+OFFSET(Contributions!P98,ElémentsTechniques!A21,0)</f>
        <v>5669732.3648972046</v>
      </c>
      <c r="L33" s="135">
        <f t="shared" ca="1" si="0"/>
        <v>-397345.46393038705</v>
      </c>
      <c r="M33" s="133">
        <f t="shared" ca="1" si="1"/>
        <v>284236.35606961325</v>
      </c>
      <c r="N33" s="133">
        <f t="shared" ca="1" si="2"/>
        <v>-230299.88140017446</v>
      </c>
      <c r="O33" s="134">
        <f t="shared" ca="1" si="3"/>
        <v>-760620.87977223378</v>
      </c>
      <c r="P33" s="130"/>
    </row>
    <row r="34" spans="3:17" s="47" customFormat="1" ht="37.5" customHeight="1" x14ac:dyDescent="0.25">
      <c r="C34" s="147"/>
      <c r="D34" s="137" t="s">
        <v>180</v>
      </c>
      <c r="E34" s="113">
        <f t="shared" ref="E34:J34" ca="1" si="6">SUM(E24+E26+E27+E28+E31+E29+E32+E33)</f>
        <v>79917069.36392957</v>
      </c>
      <c r="F34" s="113">
        <f t="shared" ca="1" si="6"/>
        <v>2529659.6135822427</v>
      </c>
      <c r="G34" s="113">
        <f t="shared" ca="1" si="6"/>
        <v>82446728.977511778</v>
      </c>
      <c r="H34" s="113">
        <f t="shared" ca="1" si="6"/>
        <v>86484113.126069635</v>
      </c>
      <c r="I34" s="113">
        <f t="shared" ca="1" si="6"/>
        <v>88349402.79266943</v>
      </c>
      <c r="J34" s="114">
        <f t="shared" ca="1" si="6"/>
        <v>84106913.660212293</v>
      </c>
      <c r="L34" s="115">
        <f ca="1">H34-E34</f>
        <v>6567043.7621400654</v>
      </c>
      <c r="M34" s="113">
        <f ca="1">H34-G34</f>
        <v>4037384.1485578567</v>
      </c>
      <c r="N34" s="113">
        <f ca="1">I34-H34</f>
        <v>1865289.6665997952</v>
      </c>
      <c r="O34" s="114">
        <f ca="1">J34-I34</f>
        <v>-4242489.1324571371</v>
      </c>
      <c r="P34" s="41"/>
    </row>
    <row r="35" spans="3:17" s="38" customFormat="1" x14ac:dyDescent="0.2">
      <c r="C35" s="44"/>
      <c r="D35" s="45"/>
      <c r="E35" s="46"/>
      <c r="F35" s="46"/>
      <c r="G35" s="46"/>
      <c r="H35" s="46"/>
      <c r="I35" s="46"/>
      <c r="J35" s="46"/>
      <c r="L35" s="46"/>
      <c r="M35" s="46"/>
      <c r="N35" s="46"/>
      <c r="O35" s="46"/>
    </row>
    <row r="36" spans="3:17" ht="37.5" customHeight="1" x14ac:dyDescent="0.2">
      <c r="C36" s="145" t="s">
        <v>81</v>
      </c>
      <c r="D36" s="52" t="s">
        <v>76</v>
      </c>
      <c r="E36" s="53" t="s">
        <v>37</v>
      </c>
      <c r="F36" s="53" t="s">
        <v>38</v>
      </c>
      <c r="G36" s="53" t="s">
        <v>39</v>
      </c>
      <c r="H36" s="53" t="s">
        <v>106</v>
      </c>
      <c r="I36" s="53" t="s">
        <v>107</v>
      </c>
      <c r="J36" s="54" t="s">
        <v>108</v>
      </c>
      <c r="L36" s="55" t="s">
        <v>86</v>
      </c>
      <c r="M36" s="53" t="s">
        <v>87</v>
      </c>
      <c r="N36" s="53" t="s">
        <v>105</v>
      </c>
      <c r="O36" s="54" t="s">
        <v>109</v>
      </c>
    </row>
    <row r="37" spans="3:17" s="47" customFormat="1" ht="37.5" customHeight="1" x14ac:dyDescent="0.25">
      <c r="C37" s="146"/>
      <c r="D37" s="138" t="s">
        <v>44</v>
      </c>
      <c r="E37" s="103">
        <f ca="1">-OFFSET(Contributions!Y3,ElémentsTechniques!A21,0)</f>
        <v>137999.99999999997</v>
      </c>
      <c r="F37" s="103">
        <f ca="1">-OFFSET(Contributions!Y22,ElémentsTechniques!A21,0)</f>
        <v>247289.12000000011</v>
      </c>
      <c r="G37" s="103">
        <f ca="1">-OFFSET(Contributions!Y41,ElémentsTechniques!A21,0)</f>
        <v>385289.12000000011</v>
      </c>
      <c r="H37" s="103">
        <f ca="1">-OFFSET(Contributions!Y60,ElémentsTechniques!A21,0)</f>
        <v>419268.45999999996</v>
      </c>
      <c r="I37" s="103">
        <f ca="1">-OFFSET(Contributions!Y79,ElémentsTechniques!A21,0)</f>
        <v>444550.94</v>
      </c>
      <c r="J37" s="104">
        <f ca="1">-OFFSET(Contributions!Y98,ElémentsTechniques!A21,0)</f>
        <v>452127.98</v>
      </c>
      <c r="L37" s="118">
        <f t="shared" ref="L37:L40" ca="1" si="7">H37-E37</f>
        <v>281268.45999999996</v>
      </c>
      <c r="M37" s="103">
        <f t="shared" ref="M37:M40" ca="1" si="8">H37-G37</f>
        <v>33979.339999999851</v>
      </c>
      <c r="N37" s="103">
        <f t="shared" ref="N37:N40" ca="1" si="9">I37-H37</f>
        <v>25282.48000000004</v>
      </c>
      <c r="O37" s="104">
        <f t="shared" ref="O37:O40" ca="1" si="10">J37-I37</f>
        <v>7577.039999999979</v>
      </c>
      <c r="P37" s="41"/>
      <c r="Q37" s="48"/>
    </row>
    <row r="38" spans="3:17" s="47" customFormat="1" ht="37.5" customHeight="1" x14ac:dyDescent="0.25">
      <c r="C38" s="146"/>
      <c r="D38" s="139" t="s">
        <v>46</v>
      </c>
      <c r="E38" s="107">
        <f ca="1">-OFFSET(Contributions!AA3,ElémentsTechniques!A21,0)-OFFSET(Contributions!Z3,ElémentsTechniques!A21,0)</f>
        <v>1270643.9124177578</v>
      </c>
      <c r="F38" s="107">
        <f ca="1">-OFFSET(Contributions!AA22,ElémentsTechniques!A21,0)-OFFSET(Contributions!Z22,ElémentsTechniques!A21,0)</f>
        <v>57263.24758224198</v>
      </c>
      <c r="G38" s="107">
        <f ca="1">-OFFSET(Contributions!AA41,ElémentsTechniques!A21,0)-OFFSET(Contributions!Z41,ElémentsTechniques!A21,0)</f>
        <v>1327907.1600000001</v>
      </c>
      <c r="H38" s="107">
        <f ca="1">-OFFSET(Contributions!AA60,ElémentsTechniques!A21,0)-OFFSET(Contributions!Z60,ElémentsTechniques!A21,0)</f>
        <v>3321856</v>
      </c>
      <c r="I38" s="107">
        <f ca="1">-OFFSET(Contributions!AA79,ElémentsTechniques!A21,0)-OFFSET(Contributions!Z79,ElémentsTechniques!A21,0)</f>
        <v>2135348.5</v>
      </c>
      <c r="J38" s="108">
        <f ca="1">-OFFSET(Contributions!AA98,ElémentsTechniques!A21,0)-OFFSET(Contributions!Z98,ElémentsTechniques!A21,0)</f>
        <v>2138844.9999999995</v>
      </c>
      <c r="L38" s="120">
        <f t="shared" ca="1" si="7"/>
        <v>2051212.0875822422</v>
      </c>
      <c r="M38" s="107">
        <f t="shared" ca="1" si="8"/>
        <v>1993948.8399999999</v>
      </c>
      <c r="N38" s="107">
        <f t="shared" ca="1" si="9"/>
        <v>-1186507.5</v>
      </c>
      <c r="O38" s="108">
        <f t="shared" ca="1" si="10"/>
        <v>3496.4999999995343</v>
      </c>
      <c r="P38" s="41"/>
      <c r="Q38" s="48"/>
    </row>
    <row r="39" spans="3:17" s="47" customFormat="1" ht="37.5" customHeight="1" x14ac:dyDescent="0.25">
      <c r="C39" s="146"/>
      <c r="D39" s="140" t="s">
        <v>47</v>
      </c>
      <c r="E39" s="109">
        <f ca="1">-OFFSET(Contributions!AB3,ElémentsTechniques!A21,0)</f>
        <v>1045441.2639999999</v>
      </c>
      <c r="F39" s="109">
        <f ca="1">-OFFSET(Contributions!AB22,ElémentsTechniques!A21,0)</f>
        <v>798607.72600000061</v>
      </c>
      <c r="G39" s="109">
        <f ca="1">-OFFSET(Contributions!AB41,ElémentsTechniques!A21,0)</f>
        <v>1844048.9900000002</v>
      </c>
      <c r="H39" s="109">
        <f ca="1">-OFFSET(Contributions!AB60,ElémentsTechniques!A21,0)</f>
        <v>2063295.9966666673</v>
      </c>
      <c r="I39" s="109">
        <f ca="1">-OFFSET(Contributions!AB79,ElémentsTechniques!A21,0)</f>
        <v>2363296.0000000005</v>
      </c>
      <c r="J39" s="110">
        <f ca="1">-OFFSET(Contributions!AB98,ElémentsTechniques!A21,0)</f>
        <v>2363296</v>
      </c>
      <c r="L39" s="121">
        <f t="shared" ca="1" si="7"/>
        <v>1017854.7326666674</v>
      </c>
      <c r="M39" s="109">
        <f t="shared" ca="1" si="8"/>
        <v>219247.00666666706</v>
      </c>
      <c r="N39" s="109">
        <f t="shared" ca="1" si="9"/>
        <v>300000.00333333318</v>
      </c>
      <c r="O39" s="110">
        <f t="shared" ca="1" si="10"/>
        <v>0</v>
      </c>
      <c r="P39" s="41"/>
      <c r="Q39" s="48"/>
    </row>
    <row r="40" spans="3:17" s="47" customFormat="1" ht="37.5" customHeight="1" x14ac:dyDescent="0.25">
      <c r="C40" s="147"/>
      <c r="D40" s="137" t="s">
        <v>181</v>
      </c>
      <c r="E40" s="113">
        <f t="shared" ref="E40:J40" ca="1" si="11">SUM(E37:E39)</f>
        <v>2454085.1764177578</v>
      </c>
      <c r="F40" s="113">
        <f t="shared" ca="1" si="11"/>
        <v>1103160.0935822427</v>
      </c>
      <c r="G40" s="113">
        <f t="shared" ca="1" si="11"/>
        <v>3557245.2700000005</v>
      </c>
      <c r="H40" s="113">
        <f t="shared" ca="1" si="11"/>
        <v>5804420.456666667</v>
      </c>
      <c r="I40" s="113">
        <f t="shared" ca="1" si="11"/>
        <v>4943195.4400000004</v>
      </c>
      <c r="J40" s="114">
        <f t="shared" ca="1" si="11"/>
        <v>4954268.9799999995</v>
      </c>
      <c r="L40" s="115">
        <f t="shared" ca="1" si="7"/>
        <v>3350335.2802489093</v>
      </c>
      <c r="M40" s="113">
        <f t="shared" ca="1" si="8"/>
        <v>2247175.1866666665</v>
      </c>
      <c r="N40" s="113">
        <f t="shared" ca="1" si="9"/>
        <v>-861225.0166666666</v>
      </c>
      <c r="O40" s="114">
        <f t="shared" ca="1" si="10"/>
        <v>11073.539999999106</v>
      </c>
      <c r="P40" s="41"/>
    </row>
    <row r="41" spans="3:17" ht="7.5" customHeight="1" x14ac:dyDescent="0.2"/>
    <row r="42" spans="3:17" ht="37.5" customHeight="1" x14ac:dyDescent="0.2">
      <c r="C42" s="136" t="s">
        <v>82</v>
      </c>
      <c r="D42" s="137" t="s">
        <v>83</v>
      </c>
      <c r="E42" s="123">
        <f t="shared" ref="E42:J42" ca="1" si="12">E34-E40</f>
        <v>77462984.187511817</v>
      </c>
      <c r="F42" s="123">
        <f t="shared" ca="1" si="12"/>
        <v>1426499.52</v>
      </c>
      <c r="G42" s="123">
        <f t="shared" ca="1" si="12"/>
        <v>78889483.707511783</v>
      </c>
      <c r="H42" s="123">
        <f t="shared" ca="1" si="12"/>
        <v>80679692.669402972</v>
      </c>
      <c r="I42" s="123">
        <f t="shared" ca="1" si="12"/>
        <v>83406207.352669433</v>
      </c>
      <c r="J42" s="124">
        <f t="shared" ca="1" si="12"/>
        <v>79152644.680212289</v>
      </c>
      <c r="L42" s="125">
        <f t="shared" ref="L42" ca="1" si="13">H42-E42</f>
        <v>3216708.4818911552</v>
      </c>
      <c r="M42" s="123">
        <f t="shared" ref="M42" ca="1" si="14">H42-G42</f>
        <v>1790208.9618911892</v>
      </c>
      <c r="N42" s="123">
        <f t="shared" ref="N42" ca="1" si="15">I42-H42</f>
        <v>2726514.6832664609</v>
      </c>
      <c r="O42" s="124">
        <f t="shared" ref="O42" ca="1" si="16">J42-I42</f>
        <v>-4253562.6724571437</v>
      </c>
    </row>
    <row r="43" spans="3:17" x14ac:dyDescent="0.2">
      <c r="D43" s="18"/>
      <c r="E43" s="30"/>
      <c r="F43" s="30"/>
      <c r="G43" s="30"/>
      <c r="H43" s="30"/>
      <c r="I43" s="30"/>
      <c r="J43" s="30"/>
    </row>
    <row r="44" spans="3:17" x14ac:dyDescent="0.2">
      <c r="C44" s="1" t="s">
        <v>212</v>
      </c>
    </row>
    <row r="46" spans="3:17" x14ac:dyDescent="0.2">
      <c r="E46" s="59"/>
      <c r="F46" s="59"/>
      <c r="G46" s="59"/>
      <c r="H46" s="59"/>
      <c r="M46" s="59"/>
    </row>
    <row r="47" spans="3:17" x14ac:dyDescent="0.2">
      <c r="E47" s="59"/>
    </row>
  </sheetData>
  <mergeCells count="4">
    <mergeCell ref="C36:C40"/>
    <mergeCell ref="C23:C34"/>
    <mergeCell ref="F21:H21"/>
    <mergeCell ref="C19:O19"/>
  </mergeCells>
  <dataValidations count="1">
    <dataValidation type="list" allowBlank="1" showInputMessage="1" showErrorMessage="1" sqref="E21" xr:uid="{3827B219-4A8C-4312-AC78-F9BE47B32C15}">
      <formula1>$A$1:$A$17</formula1>
    </dataValidation>
  </dataValidations>
  <pageMargins left="0.25" right="0.25" top="0.75" bottom="0.75" header="0.3" footer="0.3"/>
  <pageSetup paperSize="9" scale="67" fitToHeight="0" orientation="landscape" r:id="rId1"/>
  <ignoredErrors>
    <ignoredError sqref="L30:O3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256C-FA23-4F08-B368-431A12FD4849}">
  <sheetPr>
    <pageSetUpPr fitToPage="1"/>
  </sheetPr>
  <dimension ref="B2:S28"/>
  <sheetViews>
    <sheetView showGridLines="0" showRowColHeaders="0" workbookViewId="0"/>
  </sheetViews>
  <sheetFormatPr baseColWidth="10" defaultRowHeight="14.25" x14ac:dyDescent="0.2"/>
  <cols>
    <col min="1" max="1" width="4.28515625" style="1" customWidth="1"/>
    <col min="2" max="2" width="11.42578125" style="1" hidden="1" customWidth="1"/>
    <col min="3" max="3" width="31.42578125" style="1" hidden="1" customWidth="1"/>
    <col min="4" max="4" width="11.42578125" style="1" customWidth="1"/>
    <col min="5" max="5" width="29.5703125" style="1" bestFit="1" customWidth="1"/>
    <col min="6" max="7" width="15.7109375" style="1" hidden="1" customWidth="1"/>
    <col min="8" max="8" width="15.7109375" style="1" bestFit="1" customWidth="1"/>
    <col min="9" max="10" width="15.7109375" style="1" customWidth="1"/>
    <col min="11" max="12" width="15.7109375" style="1" bestFit="1" customWidth="1"/>
    <col min="13" max="13" width="15.7109375" style="1" customWidth="1"/>
    <col min="14" max="14" width="2.140625" style="1" customWidth="1"/>
    <col min="15" max="15" width="15.85546875" style="1" hidden="1" customWidth="1"/>
    <col min="16" max="16" width="15.85546875" style="1" customWidth="1"/>
    <col min="17" max="19" width="15.7109375" style="1" customWidth="1"/>
    <col min="20" max="16384" width="11.42578125" style="1"/>
  </cols>
  <sheetData>
    <row r="2" spans="2:19" ht="20.25" x14ac:dyDescent="0.3">
      <c r="D2" s="144" t="s">
        <v>213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4" spans="2:19" ht="33.75" customHeight="1" x14ac:dyDescent="0.2">
      <c r="B4" s="2" t="s">
        <v>0</v>
      </c>
      <c r="C4" s="2" t="s">
        <v>1</v>
      </c>
      <c r="D4" s="84" t="s">
        <v>2</v>
      </c>
      <c r="E4" s="84" t="s">
        <v>3</v>
      </c>
      <c r="F4" s="84" t="s">
        <v>183</v>
      </c>
      <c r="G4" s="84" t="s">
        <v>184</v>
      </c>
      <c r="H4" s="84" t="s">
        <v>37</v>
      </c>
      <c r="I4" s="84" t="s">
        <v>38</v>
      </c>
      <c r="J4" s="84" t="s">
        <v>39</v>
      </c>
      <c r="K4" s="84" t="s">
        <v>106</v>
      </c>
      <c r="L4" s="84" t="s">
        <v>107</v>
      </c>
      <c r="M4" s="84" t="s">
        <v>108</v>
      </c>
      <c r="O4" s="2" t="s">
        <v>186</v>
      </c>
      <c r="P4" s="84" t="s">
        <v>86</v>
      </c>
      <c r="Q4" s="84" t="s">
        <v>87</v>
      </c>
      <c r="R4" s="84" t="s">
        <v>105</v>
      </c>
      <c r="S4" s="84" t="s">
        <v>109</v>
      </c>
    </row>
    <row r="5" spans="2:19" ht="33.75" customHeight="1" x14ac:dyDescent="0.2">
      <c r="B5" s="3" t="s">
        <v>4</v>
      </c>
      <c r="C5" s="4" t="s">
        <v>5</v>
      </c>
      <c r="D5" s="85" t="s">
        <v>4</v>
      </c>
      <c r="E5" s="86" t="s">
        <v>5</v>
      </c>
      <c r="F5" s="87">
        <f>1725504.53+315722.4-175000</f>
        <v>1866226.9300000002</v>
      </c>
      <c r="G5" s="87">
        <f>92680.34+37363.32</f>
        <v>130043.66</v>
      </c>
      <c r="H5" s="95">
        <f>Contributions!Q3</f>
        <v>2591147.1355337426</v>
      </c>
      <c r="I5" s="96">
        <f>Contributions!Q22</f>
        <v>57031.179999999978</v>
      </c>
      <c r="J5" s="95">
        <f>Contributions!Q41</f>
        <v>2648178.3155337423</v>
      </c>
      <c r="K5" s="96">
        <f>Contributions!Q60</f>
        <v>2690978.7964112558</v>
      </c>
      <c r="L5" s="96">
        <f>Contributions!Q79</f>
        <v>2791442.4387711179</v>
      </c>
      <c r="M5" s="96">
        <f>Contributions!Q98</f>
        <v>2720031.4648157381</v>
      </c>
      <c r="O5" s="9">
        <f>J5-(F5+G5)</f>
        <v>651907.72553374222</v>
      </c>
      <c r="P5" s="96">
        <f>K5-H5</f>
        <v>99831.660877513234</v>
      </c>
      <c r="Q5" s="96">
        <f>K5-J5</f>
        <v>42800.480877513532</v>
      </c>
      <c r="R5" s="96">
        <f>L5-K5</f>
        <v>100463.6423598621</v>
      </c>
      <c r="S5" s="96">
        <f>M5-L5</f>
        <v>-71410.973955379799</v>
      </c>
    </row>
    <row r="6" spans="2:19" ht="33.75" customHeight="1" x14ac:dyDescent="0.2">
      <c r="B6" s="5" t="s">
        <v>6</v>
      </c>
      <c r="C6" s="6" t="s">
        <v>7</v>
      </c>
      <c r="D6" s="89" t="s">
        <v>6</v>
      </c>
      <c r="E6" s="90" t="s">
        <v>7</v>
      </c>
      <c r="F6" s="91">
        <v>13846734.460000001</v>
      </c>
      <c r="G6" s="91">
        <v>-298396.38</v>
      </c>
      <c r="H6" s="97">
        <f>Contributions!Q4</f>
        <v>16212097.017127998</v>
      </c>
      <c r="I6" s="97">
        <f>Contributions!Q23</f>
        <v>759851.20000000007</v>
      </c>
      <c r="J6" s="97">
        <f>Contributions!Q42</f>
        <v>16971948.217127997</v>
      </c>
      <c r="K6" s="97">
        <f>Contributions!Q61</f>
        <v>17281988.902098771</v>
      </c>
      <c r="L6" s="97">
        <f>Contributions!Q80</f>
        <v>17877751.076042384</v>
      </c>
      <c r="M6" s="97">
        <f>Contributions!Q99</f>
        <v>17030514.916558821</v>
      </c>
      <c r="O6" s="10">
        <f t="shared" ref="O6:O20" si="0">J6-(F6+G6)</f>
        <v>3423610.1371279974</v>
      </c>
      <c r="P6" s="97">
        <f t="shared" ref="P6:P20" si="1">K6-H6</f>
        <v>1069891.884970773</v>
      </c>
      <c r="Q6" s="97">
        <f t="shared" ref="Q6:Q20" si="2">K6-J6</f>
        <v>310040.68497077376</v>
      </c>
      <c r="R6" s="97">
        <f t="shared" ref="R6:R20" si="3">L6-K6</f>
        <v>595762.17394361272</v>
      </c>
      <c r="S6" s="97">
        <f t="shared" ref="S6:S20" si="4">M6-L6</f>
        <v>-847236.15948356315</v>
      </c>
    </row>
    <row r="7" spans="2:19" ht="33.75" customHeight="1" x14ac:dyDescent="0.2">
      <c r="B7" s="3" t="s">
        <v>8</v>
      </c>
      <c r="C7" s="4" t="s">
        <v>9</v>
      </c>
      <c r="D7" s="85" t="s">
        <v>8</v>
      </c>
      <c r="E7" s="86" t="s">
        <v>9</v>
      </c>
      <c r="F7" s="87">
        <v>9634887.7799999993</v>
      </c>
      <c r="G7" s="87">
        <v>109925.59</v>
      </c>
      <c r="H7" s="96">
        <f>Contributions!Q5</f>
        <v>11360527.404402789</v>
      </c>
      <c r="I7" s="96">
        <f>Contributions!Q24</f>
        <v>231429.88</v>
      </c>
      <c r="J7" s="96">
        <f>Contributions!Q43</f>
        <v>11591957.28440279</v>
      </c>
      <c r="K7" s="96">
        <f>Contributions!Q62</f>
        <v>11786198.49769271</v>
      </c>
      <c r="L7" s="96">
        <f>Contributions!Q81</f>
        <v>12234177.438293491</v>
      </c>
      <c r="M7" s="96">
        <f>Contributions!Q100</f>
        <v>11579574.084534965</v>
      </c>
      <c r="O7" s="9">
        <f t="shared" si="0"/>
        <v>1847143.9144027904</v>
      </c>
      <c r="P7" s="96">
        <f t="shared" si="1"/>
        <v>425671.09328992106</v>
      </c>
      <c r="Q7" s="96">
        <f t="shared" si="2"/>
        <v>194241.21328992024</v>
      </c>
      <c r="R7" s="96">
        <f t="shared" si="3"/>
        <v>447978.94060078077</v>
      </c>
      <c r="S7" s="96">
        <f t="shared" si="4"/>
        <v>-654603.3537585251</v>
      </c>
    </row>
    <row r="8" spans="2:19" ht="33.75" customHeight="1" x14ac:dyDescent="0.2">
      <c r="B8" s="5" t="s">
        <v>10</v>
      </c>
      <c r="C8" s="6" t="s">
        <v>11</v>
      </c>
      <c r="D8" s="89" t="s">
        <v>10</v>
      </c>
      <c r="E8" s="90" t="s">
        <v>11</v>
      </c>
      <c r="F8" s="91">
        <v>5810373.8399999999</v>
      </c>
      <c r="G8" s="91">
        <v>-232421.25</v>
      </c>
      <c r="H8" s="97">
        <f>Contributions!Q6</f>
        <v>6617971.9965401525</v>
      </c>
      <c r="I8" s="97">
        <f>Contributions!Q25</f>
        <v>10583.639999999994</v>
      </c>
      <c r="J8" s="97">
        <f>Contributions!Q44</f>
        <v>6628555.6365401521</v>
      </c>
      <c r="K8" s="97">
        <f>Contributions!Q63</f>
        <v>6726173.0168376863</v>
      </c>
      <c r="L8" s="97">
        <f>Contributions!Q82</f>
        <v>6952483.6952491309</v>
      </c>
      <c r="M8" s="97">
        <f>Contributions!Q101</f>
        <v>6514713.1825463912</v>
      </c>
      <c r="O8" s="10">
        <f t="shared" si="0"/>
        <v>1050603.0465401523</v>
      </c>
      <c r="P8" s="97">
        <f t="shared" si="1"/>
        <v>108201.02029753383</v>
      </c>
      <c r="Q8" s="97">
        <f t="shared" si="2"/>
        <v>97617.380297534168</v>
      </c>
      <c r="R8" s="97">
        <f t="shared" si="3"/>
        <v>226310.67841144465</v>
      </c>
      <c r="S8" s="97">
        <f t="shared" si="4"/>
        <v>-437770.5127027398</v>
      </c>
    </row>
    <row r="9" spans="2:19" ht="33.75" customHeight="1" x14ac:dyDescent="0.2">
      <c r="B9" s="3" t="s">
        <v>12</v>
      </c>
      <c r="C9" s="4" t="s">
        <v>13</v>
      </c>
      <c r="D9" s="85" t="s">
        <v>12</v>
      </c>
      <c r="E9" s="86" t="s">
        <v>13</v>
      </c>
      <c r="F9" s="88">
        <v>16622212.380000001</v>
      </c>
      <c r="G9" s="87">
        <v>30637.61</v>
      </c>
      <c r="H9" s="96">
        <f>Contributions!Q7</f>
        <v>19249143.21036068</v>
      </c>
      <c r="I9" s="96">
        <f>Contributions!Q26</f>
        <v>74437.040000000023</v>
      </c>
      <c r="J9" s="96">
        <f>Contributions!Q45</f>
        <v>19323580.250360683</v>
      </c>
      <c r="K9" s="96">
        <f>Contributions!Q64</f>
        <v>19900904.455907665</v>
      </c>
      <c r="L9" s="96">
        <f>Contributions!Q83</f>
        <v>20617803.835045956</v>
      </c>
      <c r="M9" s="96">
        <f>Contributions!Q102</f>
        <v>19027555.68111505</v>
      </c>
      <c r="O9" s="9">
        <f t="shared" si="0"/>
        <v>2670730.2603606824</v>
      </c>
      <c r="P9" s="96">
        <f t="shared" si="1"/>
        <v>651761.24554698542</v>
      </c>
      <c r="Q9" s="96">
        <f t="shared" si="2"/>
        <v>577324.20554698259</v>
      </c>
      <c r="R9" s="96">
        <f t="shared" si="3"/>
        <v>716899.37913829088</v>
      </c>
      <c r="S9" s="96">
        <f t="shared" si="4"/>
        <v>-1590248.1539309062</v>
      </c>
    </row>
    <row r="10" spans="2:19" ht="33.75" customHeight="1" x14ac:dyDescent="0.2">
      <c r="B10" s="5" t="s">
        <v>14</v>
      </c>
      <c r="C10" s="6" t="s">
        <v>15</v>
      </c>
      <c r="D10" s="89" t="s">
        <v>14</v>
      </c>
      <c r="E10" s="90" t="s">
        <v>15</v>
      </c>
      <c r="F10" s="91">
        <v>4366723.49</v>
      </c>
      <c r="G10" s="91">
        <v>-202014.8</v>
      </c>
      <c r="H10" s="97">
        <f>Contributions!Q8</f>
        <v>5050463.7566434667</v>
      </c>
      <c r="I10" s="97">
        <f>Contributions!Q27</f>
        <v>284033</v>
      </c>
      <c r="J10" s="97">
        <f>Contributions!Q46</f>
        <v>5334496.7566434676</v>
      </c>
      <c r="K10" s="97">
        <f>Contributions!Q65</f>
        <v>5299324.449046907</v>
      </c>
      <c r="L10" s="97">
        <f>Contributions!Q84</f>
        <v>5458278.7973431107</v>
      </c>
      <c r="M10" s="97">
        <f>Contributions!Q103</f>
        <v>5037475.8066354766</v>
      </c>
      <c r="O10" s="10">
        <f t="shared" si="0"/>
        <v>1169788.0666434672</v>
      </c>
      <c r="P10" s="97">
        <f t="shared" si="1"/>
        <v>248860.69240344036</v>
      </c>
      <c r="Q10" s="97">
        <f t="shared" si="2"/>
        <v>-35172.307596560568</v>
      </c>
      <c r="R10" s="97">
        <f t="shared" si="3"/>
        <v>158954.34829620365</v>
      </c>
      <c r="S10" s="97">
        <f t="shared" si="4"/>
        <v>-420802.99070763402</v>
      </c>
    </row>
    <row r="11" spans="2:19" ht="33.75" customHeight="1" x14ac:dyDescent="0.2">
      <c r="B11" s="3" t="s">
        <v>16</v>
      </c>
      <c r="C11" s="4" t="s">
        <v>17</v>
      </c>
      <c r="D11" s="85" t="s">
        <v>18</v>
      </c>
      <c r="E11" s="86" t="s">
        <v>19</v>
      </c>
      <c r="F11" s="87">
        <v>3066235.84</v>
      </c>
      <c r="G11" s="87">
        <v>-70458.710000000006</v>
      </c>
      <c r="H11" s="96">
        <f>Contributions!Q9</f>
        <v>3558380.9291892461</v>
      </c>
      <c r="I11" s="96">
        <f>Contributions!Q28</f>
        <v>-136512.82</v>
      </c>
      <c r="J11" s="96">
        <f>Contributions!Q47</f>
        <v>3421868.1091892463</v>
      </c>
      <c r="K11" s="96">
        <f>Contributions!Q66</f>
        <v>3837045.2293773042</v>
      </c>
      <c r="L11" s="96">
        <f>Contributions!Q85</f>
        <v>3940314.825098074</v>
      </c>
      <c r="M11" s="96">
        <f>Contributions!Q104</f>
        <v>3986156.9413632569</v>
      </c>
      <c r="O11" s="9">
        <f t="shared" si="0"/>
        <v>426090.97918924643</v>
      </c>
      <c r="P11" s="96">
        <f t="shared" si="1"/>
        <v>278664.30018805806</v>
      </c>
      <c r="Q11" s="96">
        <f t="shared" si="2"/>
        <v>415177.12018805789</v>
      </c>
      <c r="R11" s="96">
        <f t="shared" si="3"/>
        <v>103269.59572076984</v>
      </c>
      <c r="S11" s="96">
        <f t="shared" si="4"/>
        <v>45842.116265182849</v>
      </c>
    </row>
    <row r="12" spans="2:19" ht="33.75" customHeight="1" x14ac:dyDescent="0.2">
      <c r="B12" s="5" t="s">
        <v>16</v>
      </c>
      <c r="C12" s="6" t="s">
        <v>17</v>
      </c>
      <c r="D12" s="89" t="s">
        <v>20</v>
      </c>
      <c r="E12" s="90" t="s">
        <v>15</v>
      </c>
      <c r="F12" s="91">
        <v>129336.25</v>
      </c>
      <c r="G12" s="91">
        <v>33748.370000000003</v>
      </c>
      <c r="H12" s="97">
        <f>Contributions!Q10</f>
        <v>193997.4119567087</v>
      </c>
      <c r="I12" s="97">
        <f>Contributions!Q29</f>
        <v>2144.3599999999988</v>
      </c>
      <c r="J12" s="97">
        <f>Contributions!Q48</f>
        <v>196141.77195670866</v>
      </c>
      <c r="K12" s="97">
        <f>Contributions!Q67</f>
        <v>218562.52769331133</v>
      </c>
      <c r="L12" s="97">
        <f>Contributions!Q86</f>
        <v>224042.50165364746</v>
      </c>
      <c r="M12" s="97">
        <f>Contributions!Q105</f>
        <v>228307.49143603645</v>
      </c>
      <c r="O12" s="10">
        <f t="shared" si="0"/>
        <v>33057.151956708665</v>
      </c>
      <c r="P12" s="97">
        <f t="shared" si="1"/>
        <v>24565.115736602631</v>
      </c>
      <c r="Q12" s="97">
        <f t="shared" si="2"/>
        <v>22420.755736602674</v>
      </c>
      <c r="R12" s="97">
        <f t="shared" si="3"/>
        <v>5479.9739603361231</v>
      </c>
      <c r="S12" s="97">
        <f t="shared" si="4"/>
        <v>4264.9897823889914</v>
      </c>
    </row>
    <row r="13" spans="2:19" ht="33.75" customHeight="1" x14ac:dyDescent="0.2">
      <c r="B13" s="3" t="s">
        <v>16</v>
      </c>
      <c r="C13" s="4" t="s">
        <v>17</v>
      </c>
      <c r="D13" s="85" t="s">
        <v>21</v>
      </c>
      <c r="E13" s="86" t="s">
        <v>22</v>
      </c>
      <c r="F13" s="87">
        <v>2962373.91</v>
      </c>
      <c r="G13" s="87">
        <v>-60544.35</v>
      </c>
      <c r="H13" s="96">
        <f>Contributions!Q11</f>
        <v>3434228.6354444772</v>
      </c>
      <c r="I13" s="96">
        <f>Contributions!Q30</f>
        <v>-49224.419999999991</v>
      </c>
      <c r="J13" s="96">
        <f>Contributions!Q49</f>
        <v>3385004.2154444768</v>
      </c>
      <c r="K13" s="96">
        <f>Contributions!Q68</f>
        <v>3712178.2829461312</v>
      </c>
      <c r="L13" s="96">
        <f>Contributions!Q87</f>
        <v>3806398.8434728985</v>
      </c>
      <c r="M13" s="96">
        <f>Contributions!Q106</f>
        <v>3783647.3833247325</v>
      </c>
      <c r="O13" s="9">
        <f t="shared" si="0"/>
        <v>483174.65544447675</v>
      </c>
      <c r="P13" s="96">
        <f t="shared" si="1"/>
        <v>277949.64750165399</v>
      </c>
      <c r="Q13" s="96">
        <f t="shared" si="2"/>
        <v>327174.06750165438</v>
      </c>
      <c r="R13" s="96">
        <f t="shared" si="3"/>
        <v>94220.56052676728</v>
      </c>
      <c r="S13" s="96">
        <f t="shared" si="4"/>
        <v>-22751.460148165934</v>
      </c>
    </row>
    <row r="14" spans="2:19" ht="33.75" customHeight="1" x14ac:dyDescent="0.2">
      <c r="B14" s="5" t="s">
        <v>16</v>
      </c>
      <c r="C14" s="6" t="s">
        <v>17</v>
      </c>
      <c r="D14" s="89" t="s">
        <v>23</v>
      </c>
      <c r="E14" s="90" t="s">
        <v>24</v>
      </c>
      <c r="F14" s="91">
        <v>579610.31000000006</v>
      </c>
      <c r="G14" s="91">
        <v>184360.92</v>
      </c>
      <c r="H14" s="97">
        <f>Contributions!Q12</f>
        <v>894350.93198974337</v>
      </c>
      <c r="I14" s="97">
        <f>Contributions!Q31</f>
        <v>98870.8</v>
      </c>
      <c r="J14" s="97">
        <f>Contributions!Q50</f>
        <v>993221.73198974354</v>
      </c>
      <c r="K14" s="97">
        <f>Contributions!Q69</f>
        <v>1091441.965720627</v>
      </c>
      <c r="L14" s="97">
        <f>Contributions!Q88</f>
        <v>1126691.8743445186</v>
      </c>
      <c r="M14" s="97">
        <f>Contributions!Q107</f>
        <v>1144782.2361627091</v>
      </c>
      <c r="O14" s="10">
        <f t="shared" si="0"/>
        <v>229250.50198974344</v>
      </c>
      <c r="P14" s="97">
        <f t="shared" si="1"/>
        <v>197091.03373088362</v>
      </c>
      <c r="Q14" s="97">
        <f t="shared" si="2"/>
        <v>98220.233730883454</v>
      </c>
      <c r="R14" s="97">
        <f t="shared" si="3"/>
        <v>35249.90862389165</v>
      </c>
      <c r="S14" s="97">
        <f t="shared" si="4"/>
        <v>18090.361818190431</v>
      </c>
    </row>
    <row r="15" spans="2:19" ht="33.75" customHeight="1" x14ac:dyDescent="0.2">
      <c r="B15" s="3" t="s">
        <v>16</v>
      </c>
      <c r="C15" s="4" t="s">
        <v>17</v>
      </c>
      <c r="D15" s="85" t="s">
        <v>25</v>
      </c>
      <c r="E15" s="86" t="s">
        <v>26</v>
      </c>
      <c r="F15" s="87">
        <v>135786.72</v>
      </c>
      <c r="G15" s="87">
        <v>70985.350000000006</v>
      </c>
      <c r="H15" s="96">
        <f>Contributions!Q13</f>
        <v>251581.2074189577</v>
      </c>
      <c r="I15" s="96">
        <f>Contributions!Q32</f>
        <v>4501.0200000000013</v>
      </c>
      <c r="J15" s="96">
        <f>Contributions!Q51</f>
        <v>256082.22741895774</v>
      </c>
      <c r="K15" s="96">
        <f>Contributions!Q70</f>
        <v>292681.73422868212</v>
      </c>
      <c r="L15" s="96">
        <f>Contributions!Q89</f>
        <v>300894.69905936014</v>
      </c>
      <c r="M15" s="96">
        <f>Contributions!Q108</f>
        <v>305810.55202261853</v>
      </c>
      <c r="O15" s="9">
        <f t="shared" si="0"/>
        <v>49310.157418957737</v>
      </c>
      <c r="P15" s="96">
        <f t="shared" si="1"/>
        <v>41100.526809724426</v>
      </c>
      <c r="Q15" s="96">
        <f t="shared" si="2"/>
        <v>36599.506809724378</v>
      </c>
      <c r="R15" s="96">
        <f t="shared" si="3"/>
        <v>8212.9648306780146</v>
      </c>
      <c r="S15" s="96">
        <f t="shared" si="4"/>
        <v>4915.8529632583959</v>
      </c>
    </row>
    <row r="16" spans="2:19" ht="33.75" customHeight="1" x14ac:dyDescent="0.2">
      <c r="B16" s="5" t="s">
        <v>27</v>
      </c>
      <c r="C16" s="6" t="s">
        <v>24</v>
      </c>
      <c r="D16" s="89" t="s">
        <v>27</v>
      </c>
      <c r="E16" s="90" t="s">
        <v>24</v>
      </c>
      <c r="F16" s="91">
        <v>1160734.69</v>
      </c>
      <c r="G16" s="91">
        <v>-39875.040000000001</v>
      </c>
      <c r="H16" s="97">
        <f>Contributions!Q14</f>
        <v>1389048.9763054664</v>
      </c>
      <c r="I16" s="97">
        <f>Contributions!Q33</f>
        <v>19950.699999999997</v>
      </c>
      <c r="J16" s="97">
        <f>Contributions!Q52</f>
        <v>1408999.6763054663</v>
      </c>
      <c r="K16" s="97">
        <f>Contributions!Q71</f>
        <v>1376942.882818402</v>
      </c>
      <c r="L16" s="97">
        <f>Contributions!Q90</f>
        <v>1419857.2290411729</v>
      </c>
      <c r="M16" s="97">
        <f>Contributions!Q109</f>
        <v>1370873.8653130536</v>
      </c>
      <c r="O16" s="10">
        <f t="shared" si="0"/>
        <v>288140.02630546642</v>
      </c>
      <c r="P16" s="97">
        <f t="shared" si="1"/>
        <v>-12106.093487064354</v>
      </c>
      <c r="Q16" s="97">
        <f t="shared" si="2"/>
        <v>-32056.793487064308</v>
      </c>
      <c r="R16" s="97">
        <f t="shared" si="3"/>
        <v>42914.346222770866</v>
      </c>
      <c r="S16" s="97">
        <f t="shared" si="4"/>
        <v>-48983.363728119293</v>
      </c>
    </row>
    <row r="17" spans="2:19" ht="33.75" customHeight="1" x14ac:dyDescent="0.2">
      <c r="B17" s="3" t="s">
        <v>28</v>
      </c>
      <c r="C17" s="4" t="s">
        <v>26</v>
      </c>
      <c r="D17" s="85" t="s">
        <v>28</v>
      </c>
      <c r="E17" s="86" t="s">
        <v>26</v>
      </c>
      <c r="F17" s="87">
        <v>1860471.74</v>
      </c>
      <c r="G17" s="87">
        <v>-10233.32</v>
      </c>
      <c r="H17" s="96">
        <f>Contributions!Q15</f>
        <v>2243177.5545977009</v>
      </c>
      <c r="I17" s="96">
        <f>Contributions!Q34</f>
        <v>-101295.23999999999</v>
      </c>
      <c r="J17" s="96">
        <f>Contributions!Q53</f>
        <v>2141882.3145977012</v>
      </c>
      <c r="K17" s="96">
        <f>Contributions!Q72</f>
        <v>2042586.5274777969</v>
      </c>
      <c r="L17" s="96">
        <f>Contributions!Q91</f>
        <v>2105927.1841307948</v>
      </c>
      <c r="M17" s="96">
        <f>Contributions!Q110</f>
        <v>1950838.7471120439</v>
      </c>
      <c r="O17" s="9">
        <f t="shared" si="0"/>
        <v>291643.89459770126</v>
      </c>
      <c r="P17" s="96">
        <f t="shared" si="1"/>
        <v>-200591.02711990406</v>
      </c>
      <c r="Q17" s="96">
        <f t="shared" si="2"/>
        <v>-99295.7871199043</v>
      </c>
      <c r="R17" s="96">
        <f t="shared" si="3"/>
        <v>63340.656652997946</v>
      </c>
      <c r="S17" s="96">
        <f t="shared" si="4"/>
        <v>-155088.43701875093</v>
      </c>
    </row>
    <row r="18" spans="2:19" ht="33.75" customHeight="1" x14ac:dyDescent="0.2">
      <c r="B18" s="5" t="s">
        <v>29</v>
      </c>
      <c r="C18" s="6" t="s">
        <v>30</v>
      </c>
      <c r="D18" s="89" t="s">
        <v>29</v>
      </c>
      <c r="E18" s="90" t="s">
        <v>30</v>
      </c>
      <c r="F18" s="91">
        <v>1565406.77</v>
      </c>
      <c r="G18" s="91">
        <v>-109040.62</v>
      </c>
      <c r="H18" s="97">
        <f>Contributions!Q16</f>
        <v>1896076.7788615655</v>
      </c>
      <c r="I18" s="97">
        <f>Contributions!Q35</f>
        <v>59991.24</v>
      </c>
      <c r="J18" s="97">
        <f>Contributions!Q54</f>
        <v>1956068.0188615657</v>
      </c>
      <c r="K18" s="97">
        <f>Contributions!Q73</f>
        <v>1869338.9341260889</v>
      </c>
      <c r="L18" s="97">
        <f>Contributions!Q92</f>
        <v>1920272.0215820498</v>
      </c>
      <c r="M18" s="97">
        <f>Contributions!Q111</f>
        <v>1911535.7321194794</v>
      </c>
      <c r="O18" s="10">
        <f t="shared" si="0"/>
        <v>499701.86886156583</v>
      </c>
      <c r="P18" s="97">
        <f t="shared" si="1"/>
        <v>-26737.844735476654</v>
      </c>
      <c r="Q18" s="97">
        <f t="shared" si="2"/>
        <v>-86729.084735476878</v>
      </c>
      <c r="R18" s="97">
        <f t="shared" si="3"/>
        <v>50933.087455960922</v>
      </c>
      <c r="S18" s="97">
        <f t="shared" si="4"/>
        <v>-8736.2894625703339</v>
      </c>
    </row>
    <row r="19" spans="2:19" ht="33.75" customHeight="1" x14ac:dyDescent="0.2">
      <c r="B19" s="3" t="s">
        <v>31</v>
      </c>
      <c r="C19" s="4" t="s">
        <v>32</v>
      </c>
      <c r="D19" s="85" t="s">
        <v>31</v>
      </c>
      <c r="E19" s="86" t="s">
        <v>33</v>
      </c>
      <c r="F19" s="87">
        <v>1722551.13</v>
      </c>
      <c r="G19" s="87">
        <v>14662.88</v>
      </c>
      <c r="H19" s="96">
        <f>Contributions!Q17</f>
        <v>2202951.7509120442</v>
      </c>
      <c r="I19" s="96">
        <f>Contributions!Q36</f>
        <v>107741.90000000001</v>
      </c>
      <c r="J19" s="96">
        <f>Contributions!Q55</f>
        <v>2310693.6509120441</v>
      </c>
      <c r="K19" s="96">
        <f>Contributions!Q74</f>
        <v>2238156.4541947721</v>
      </c>
      <c r="L19" s="96">
        <f>Contributions!Q93</f>
        <v>2304848.5134636136</v>
      </c>
      <c r="M19" s="96">
        <f>Contributions!Q112</f>
        <v>2201780.9059526701</v>
      </c>
      <c r="O19" s="9">
        <f t="shared" si="0"/>
        <v>573479.64091204433</v>
      </c>
      <c r="P19" s="96">
        <f t="shared" si="1"/>
        <v>35204.70328272786</v>
      </c>
      <c r="Q19" s="96">
        <f t="shared" si="2"/>
        <v>-72537.196717272047</v>
      </c>
      <c r="R19" s="96">
        <f t="shared" si="3"/>
        <v>66692.05926884152</v>
      </c>
      <c r="S19" s="96">
        <f t="shared" si="4"/>
        <v>-103067.60751094343</v>
      </c>
    </row>
    <row r="20" spans="2:19" ht="33.75" customHeight="1" x14ac:dyDescent="0.2">
      <c r="B20" s="5" t="s">
        <v>34</v>
      </c>
      <c r="C20" s="6" t="s">
        <v>35</v>
      </c>
      <c r="D20" s="89" t="s">
        <v>34</v>
      </c>
      <c r="E20" s="90" t="s">
        <v>35</v>
      </c>
      <c r="F20" s="91">
        <f>285153.46</f>
        <v>285153.46000000002</v>
      </c>
      <c r="G20" s="91">
        <v>-36057.58</v>
      </c>
      <c r="H20" s="97">
        <f>Contributions!Q18</f>
        <v>317839.49022706359</v>
      </c>
      <c r="I20" s="97">
        <f>Contributions!Q37</f>
        <v>2966.0400000000004</v>
      </c>
      <c r="J20" s="97">
        <f>Contributions!Q56</f>
        <v>320805.53022706369</v>
      </c>
      <c r="K20" s="97">
        <f>Contributions!Q75</f>
        <v>315190.01282483339</v>
      </c>
      <c r="L20" s="97">
        <f>Contributions!Q94</f>
        <v>325022.38007811538</v>
      </c>
      <c r="M20" s="97">
        <f>Contributions!Q113</f>
        <v>359045.68919926014</v>
      </c>
      <c r="O20" s="10">
        <f t="shared" si="0"/>
        <v>71709.650227063685</v>
      </c>
      <c r="P20" s="97">
        <f t="shared" si="1"/>
        <v>-2649.4774022302008</v>
      </c>
      <c r="Q20" s="97">
        <f t="shared" si="2"/>
        <v>-5615.5174022302963</v>
      </c>
      <c r="R20" s="97">
        <f t="shared" si="3"/>
        <v>9832.367253281991</v>
      </c>
      <c r="S20" s="97">
        <f t="shared" si="4"/>
        <v>34023.309121144761</v>
      </c>
    </row>
    <row r="21" spans="2:19" ht="33.75" customHeight="1" x14ac:dyDescent="0.2">
      <c r="B21" s="7" t="s">
        <v>36</v>
      </c>
      <c r="C21" s="8"/>
      <c r="D21" s="92"/>
      <c r="E21" s="93"/>
      <c r="F21" s="94">
        <f>SUM(F5:F20)</f>
        <v>65614819.700000003</v>
      </c>
      <c r="G21" s="94">
        <f>SUM(G5:G20)</f>
        <v>-484677.67</v>
      </c>
      <c r="H21" s="98">
        <f>SUM(H5:H20)</f>
        <v>77462984.187511817</v>
      </c>
      <c r="I21" s="98">
        <f>SUM(I5:I20)</f>
        <v>1426499.52</v>
      </c>
      <c r="J21" s="98">
        <f>SUM(J5:J20)</f>
        <v>78889483.707511812</v>
      </c>
      <c r="K21" s="98">
        <f t="shared" ref="K21:M21" si="5">SUM(K5:K20)</f>
        <v>80679692.669402957</v>
      </c>
      <c r="L21" s="98">
        <f t="shared" si="5"/>
        <v>83406207.352669433</v>
      </c>
      <c r="M21" s="98">
        <f t="shared" si="5"/>
        <v>79152644.680212319</v>
      </c>
      <c r="O21" s="11">
        <f>SUM(O5:O20)</f>
        <v>13759341.677511808</v>
      </c>
      <c r="P21" s="98">
        <f>SUM(P5:P20)</f>
        <v>3216708.4818911422</v>
      </c>
      <c r="Q21" s="98">
        <f>SUM(Q5:Q20)</f>
        <v>1790208.9618911389</v>
      </c>
      <c r="R21" s="98">
        <f>SUM(R5:R20)</f>
        <v>2726514.6832664907</v>
      </c>
      <c r="S21" s="98">
        <f>SUM(S5:S20)</f>
        <v>-4253562.6724571325</v>
      </c>
    </row>
    <row r="22" spans="2:19" s="31" customFormat="1" ht="12" hidden="1" x14ac:dyDescent="0.2">
      <c r="H22" s="31" t="str">
        <f>IF(H21=Contributions!Q19,"Ok","Erreur")</f>
        <v>Ok</v>
      </c>
      <c r="I22" s="31" t="str">
        <f>IF(I21=Contributions!Q38,"Ok","Erreur")</f>
        <v>Ok</v>
      </c>
      <c r="J22" s="31" t="str">
        <f>IF(J21=Contributions!Q57,"Ok","Erreur")</f>
        <v>Ok</v>
      </c>
      <c r="K22" s="32" t="str">
        <f>IF(K21=Contributions!Q76,"Ok","Erreur")</f>
        <v>Ok</v>
      </c>
      <c r="L22" s="31" t="str">
        <f>IF(L21=Contributions!Q95,"Ok","Erreur")</f>
        <v>Ok</v>
      </c>
      <c r="M22" s="31" t="str">
        <f>IF(M21=Contributions!Q114,"Ok","Erreur")</f>
        <v>Ok</v>
      </c>
    </row>
    <row r="23" spans="2:19" x14ac:dyDescent="0.2">
      <c r="E23" s="37"/>
      <c r="F23" s="37"/>
      <c r="G23" s="37"/>
      <c r="H23" s="36"/>
      <c r="J23" s="36"/>
      <c r="K23" s="12"/>
    </row>
    <row r="24" spans="2:19" x14ac:dyDescent="0.2">
      <c r="D24" s="19" t="s">
        <v>85</v>
      </c>
    </row>
    <row r="25" spans="2:19" x14ac:dyDescent="0.2">
      <c r="D25" s="20" t="s">
        <v>187</v>
      </c>
    </row>
    <row r="26" spans="2:19" x14ac:dyDescent="0.2">
      <c r="D26" s="20" t="s">
        <v>84</v>
      </c>
    </row>
    <row r="27" spans="2:19" ht="3.75" customHeight="1" x14ac:dyDescent="0.2"/>
    <row r="28" spans="2:19" x14ac:dyDescent="0.2">
      <c r="D28" s="20" t="s">
        <v>185</v>
      </c>
    </row>
  </sheetData>
  <mergeCells count="1">
    <mergeCell ref="D2:S2"/>
  </mergeCells>
  <pageMargins left="0.25" right="0.25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5BEF1-75FB-49BF-AD94-CE86FA536387}">
  <sheetPr>
    <pageSetUpPr fitToPage="1"/>
  </sheetPr>
  <dimension ref="A1:W1"/>
  <sheetViews>
    <sheetView showGridLines="0" showRowColHeaders="0" workbookViewId="0">
      <selection sqref="A1:W1"/>
    </sheetView>
  </sheetViews>
  <sheetFormatPr baseColWidth="10" defaultRowHeight="15" x14ac:dyDescent="0.25"/>
  <sheetData>
    <row r="1" spans="1:23" ht="28.5" x14ac:dyDescent="0.45">
      <c r="A1" s="151" t="s">
        <v>214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</sheetData>
  <mergeCells count="1">
    <mergeCell ref="A1:W1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4" fitToHeight="0" orientation="landscape" r:id="rId1"/>
  <rowBreaks count="3" manualBreakCount="3">
    <brk id="47" max="16383" man="1"/>
    <brk id="93" max="16383" man="1"/>
    <brk id="13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7B27-BD0C-45F3-9589-DF93610691E5}">
  <dimension ref="A1"/>
  <sheetViews>
    <sheetView showGridLines="0" showRowColHeaders="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04353-4E0A-4F55-8EDD-2D63E1FF461C}">
  <dimension ref="B2:AE114"/>
  <sheetViews>
    <sheetView showGridLines="0" showRowColHeaders="0" workbookViewId="0"/>
  </sheetViews>
  <sheetFormatPr baseColWidth="10" defaultRowHeight="12.75" x14ac:dyDescent="0.2"/>
  <cols>
    <col min="1" max="1" width="3.5703125" style="13" customWidth="1"/>
    <col min="2" max="2" width="11.140625" style="13" bestFit="1" customWidth="1"/>
    <col min="3" max="3" width="29.5703125" style="13" bestFit="1" customWidth="1"/>
    <col min="4" max="4" width="9.7109375" style="13" bestFit="1" customWidth="1"/>
    <col min="5" max="5" width="29.5703125" style="13" bestFit="1" customWidth="1"/>
    <col min="6" max="6" width="11.7109375" style="13" bestFit="1" customWidth="1"/>
    <col min="7" max="7" width="13.140625" style="13" bestFit="1" customWidth="1"/>
    <col min="8" max="8" width="12.140625" style="13" bestFit="1" customWidth="1"/>
    <col min="9" max="9" width="11.5703125" style="13" bestFit="1" customWidth="1"/>
    <col min="10" max="11" width="13.140625" style="13" bestFit="1" customWidth="1"/>
    <col min="12" max="15" width="12.140625" style="13" bestFit="1" customWidth="1"/>
    <col min="16" max="16" width="11.5703125" style="13" bestFit="1" customWidth="1"/>
    <col min="17" max="17" width="13.140625" style="13" bestFit="1" customWidth="1"/>
    <col min="18" max="18" width="2.140625" style="13" customWidth="1"/>
    <col min="19" max="19" width="11.5703125" style="13" bestFit="1" customWidth="1"/>
    <col min="20" max="21" width="12.140625" style="13" bestFit="1" customWidth="1"/>
    <col min="22" max="23" width="11.5703125" style="13" bestFit="1" customWidth="1"/>
    <col min="24" max="24" width="2.140625" style="13" customWidth="1"/>
    <col min="25" max="26" width="11.5703125" style="13" bestFit="1" customWidth="1"/>
    <col min="27" max="28" width="12.140625" style="13" bestFit="1" customWidth="1"/>
    <col min="29" max="29" width="11.42578125" style="13"/>
    <col min="30" max="30" width="12.42578125" style="13" bestFit="1" customWidth="1"/>
    <col min="31" max="16384" width="11.42578125" style="13"/>
  </cols>
  <sheetData>
    <row r="2" spans="2:31" ht="25.5" x14ac:dyDescent="0.2">
      <c r="B2" s="29">
        <v>2021</v>
      </c>
      <c r="C2" s="2" t="s">
        <v>1</v>
      </c>
      <c r="D2" s="2" t="s">
        <v>2</v>
      </c>
      <c r="E2" s="2" t="s">
        <v>3</v>
      </c>
      <c r="F2" s="2" t="s">
        <v>88</v>
      </c>
      <c r="G2" s="2" t="s">
        <v>89</v>
      </c>
      <c r="H2" s="2" t="s">
        <v>44</v>
      </c>
      <c r="I2" s="2" t="s">
        <v>45</v>
      </c>
      <c r="J2" s="2" t="s">
        <v>46</v>
      </c>
      <c r="K2" s="2" t="s">
        <v>47</v>
      </c>
      <c r="L2" s="2" t="s">
        <v>90</v>
      </c>
      <c r="M2" s="2" t="s">
        <v>91</v>
      </c>
      <c r="N2" s="2" t="s">
        <v>92</v>
      </c>
      <c r="O2" s="2" t="s">
        <v>93</v>
      </c>
      <c r="P2" s="2" t="s">
        <v>94</v>
      </c>
      <c r="Q2" s="2" t="s">
        <v>95</v>
      </c>
      <c r="S2" s="2" t="s">
        <v>96</v>
      </c>
      <c r="T2" s="2" t="s">
        <v>97</v>
      </c>
      <c r="U2" s="2" t="s">
        <v>98</v>
      </c>
      <c r="V2" s="2" t="s">
        <v>99</v>
      </c>
      <c r="W2" s="2" t="s">
        <v>100</v>
      </c>
      <c r="Y2" s="2" t="s">
        <v>101</v>
      </c>
      <c r="Z2" s="2" t="s">
        <v>102</v>
      </c>
      <c r="AA2" s="2" t="s">
        <v>103</v>
      </c>
      <c r="AB2" s="2" t="s">
        <v>104</v>
      </c>
      <c r="AD2" s="13">
        <v>-1045441.264</v>
      </c>
      <c r="AE2" s="13">
        <f>AD2/2</f>
        <v>-522720.63199999998</v>
      </c>
    </row>
    <row r="3" spans="2:31" x14ac:dyDescent="0.2">
      <c r="B3" s="3" t="s">
        <v>4</v>
      </c>
      <c r="C3" s="4" t="s">
        <v>5</v>
      </c>
      <c r="D3" s="3" t="s">
        <v>4</v>
      </c>
      <c r="E3" s="4" t="s">
        <v>5</v>
      </c>
      <c r="F3" s="25">
        <v>29997</v>
      </c>
      <c r="G3" s="23">
        <v>659985.34699445614</v>
      </c>
      <c r="H3" s="23">
        <v>43367.493939157597</v>
      </c>
      <c r="I3" s="23">
        <v>-6657.5330578400008</v>
      </c>
      <c r="J3" s="23">
        <v>894039.61868493562</v>
      </c>
      <c r="K3" s="23">
        <f>755650.424957318-175000</f>
        <v>580650.424957318</v>
      </c>
      <c r="L3" s="23">
        <v>88819.455819900002</v>
      </c>
      <c r="M3" s="23">
        <v>79474.398195815011</v>
      </c>
      <c r="N3" s="23">
        <v>168640.00530055436</v>
      </c>
      <c r="O3" s="23">
        <v>65998.534699445619</v>
      </c>
      <c r="P3" s="23">
        <v>16829.39</v>
      </c>
      <c r="Q3" s="23">
        <f>SUM(G3:P3)</f>
        <v>2591147.1355337426</v>
      </c>
      <c r="S3" s="22">
        <v>3670.9960881317602</v>
      </c>
      <c r="T3" s="22">
        <v>89403.96186849357</v>
      </c>
      <c r="U3" s="22">
        <v>75565.042495731759</v>
      </c>
      <c r="V3" s="22">
        <v>8881.9455819900013</v>
      </c>
      <c r="W3" s="22">
        <v>7947.4398195815011</v>
      </c>
      <c r="Y3" s="22">
        <v>0</v>
      </c>
      <c r="Z3" s="22">
        <v>-12197.78248184</v>
      </c>
      <c r="AA3" s="22">
        <v>-48437.069319281611</v>
      </c>
      <c r="AB3" s="22">
        <v>-55650.356501367511</v>
      </c>
      <c r="AD3" s="13">
        <v>7.1014591699159524E-2</v>
      </c>
      <c r="AE3" s="13">
        <v>3.5448312373407308E-2</v>
      </c>
    </row>
    <row r="4" spans="2:31" x14ac:dyDescent="0.2">
      <c r="B4" s="5" t="s">
        <v>6</v>
      </c>
      <c r="C4" s="6" t="s">
        <v>7</v>
      </c>
      <c r="D4" s="5" t="s">
        <v>6</v>
      </c>
      <c r="E4" s="6" t="s">
        <v>7</v>
      </c>
      <c r="F4" s="21">
        <v>199529</v>
      </c>
      <c r="G4" s="22">
        <v>4389979.5413026903</v>
      </c>
      <c r="H4" s="22">
        <v>572929.00506616582</v>
      </c>
      <c r="I4" s="22">
        <v>-30978.900474060007</v>
      </c>
      <c r="J4" s="22">
        <v>5691076.7114514159</v>
      </c>
      <c r="K4" s="22">
        <v>3184729.2904019533</v>
      </c>
      <c r="L4" s="22">
        <v>595585.24082997488</v>
      </c>
      <c r="M4" s="22">
        <v>334949.11854985944</v>
      </c>
      <c r="N4" s="22">
        <v>941775.61586973094</v>
      </c>
      <c r="O4" s="22">
        <v>438997.95413026906</v>
      </c>
      <c r="P4" s="22">
        <v>93053.440000000002</v>
      </c>
      <c r="Q4" s="22">
        <f t="shared" ref="Q4:Q18" si="0">SUM(G4:P4)</f>
        <v>16212097.017127998</v>
      </c>
      <c r="S4" s="23">
        <v>54195.010459210585</v>
      </c>
      <c r="T4" s="23">
        <v>569107.67114514159</v>
      </c>
      <c r="U4" s="23">
        <v>318472.92904019536</v>
      </c>
      <c r="V4" s="23">
        <v>59558.524082997494</v>
      </c>
      <c r="W4" s="23">
        <v>33494.911854985949</v>
      </c>
      <c r="Y4" s="23">
        <v>0</v>
      </c>
      <c r="Z4" s="23">
        <v>-56758.845390060007</v>
      </c>
      <c r="AA4" s="23">
        <v>-222981.26211148585</v>
      </c>
      <c r="AB4" s="23">
        <v>-234541.41560395021</v>
      </c>
      <c r="AD4" s="13">
        <v>0.2129045028096207</v>
      </c>
      <c r="AE4" s="13">
        <v>0.23578912289740941</v>
      </c>
    </row>
    <row r="5" spans="2:31" x14ac:dyDescent="0.2">
      <c r="B5" s="3" t="s">
        <v>8</v>
      </c>
      <c r="C5" s="4" t="s">
        <v>9</v>
      </c>
      <c r="D5" s="3" t="s">
        <v>8</v>
      </c>
      <c r="E5" s="4" t="s">
        <v>9</v>
      </c>
      <c r="F5" s="25">
        <v>140106</v>
      </c>
      <c r="G5" s="23">
        <v>3082571.8247159803</v>
      </c>
      <c r="H5" s="23">
        <v>82690.523522144606</v>
      </c>
      <c r="I5" s="23">
        <v>-20579.066304719996</v>
      </c>
      <c r="J5" s="23">
        <v>4255582.1644523386</v>
      </c>
      <c r="K5" s="23">
        <v>2177324.0486004427</v>
      </c>
      <c r="L5" s="23">
        <v>521165.90370108007</v>
      </c>
      <c r="M5" s="23">
        <v>228996.78571552417</v>
      </c>
      <c r="N5" s="23">
        <v>649501.76752840192</v>
      </c>
      <c r="O5" s="23">
        <v>308257.18247159803</v>
      </c>
      <c r="P5" s="23">
        <v>75016.27</v>
      </c>
      <c r="Q5" s="23">
        <f t="shared" si="0"/>
        <v>11360527.404402789</v>
      </c>
      <c r="S5" s="22">
        <v>6211.1457217424613</v>
      </c>
      <c r="T5" s="22">
        <v>425558.21644523391</v>
      </c>
      <c r="U5" s="22">
        <v>217732.40486004428</v>
      </c>
      <c r="V5" s="22">
        <v>52116.59037010801</v>
      </c>
      <c r="W5" s="22">
        <v>22899.678571552417</v>
      </c>
      <c r="Y5" s="22">
        <v>0</v>
      </c>
      <c r="Z5" s="22">
        <v>-37704.502896719998</v>
      </c>
      <c r="AA5" s="22">
        <v>-188324.75415436932</v>
      </c>
      <c r="AB5" s="22">
        <v>-160350.41537951835</v>
      </c>
      <c r="AD5" s="13">
        <v>0.14119394829986076</v>
      </c>
      <c r="AE5" s="13">
        <v>0.16556726517280418</v>
      </c>
    </row>
    <row r="6" spans="2:31" x14ac:dyDescent="0.2">
      <c r="B6" s="5" t="s">
        <v>10</v>
      </c>
      <c r="C6" s="6" t="s">
        <v>11</v>
      </c>
      <c r="D6" s="5" t="s">
        <v>10</v>
      </c>
      <c r="E6" s="6" t="s">
        <v>11</v>
      </c>
      <c r="F6" s="21">
        <v>84350</v>
      </c>
      <c r="G6" s="22">
        <v>1855844.3850712527</v>
      </c>
      <c r="H6" s="22">
        <v>49964.950658804351</v>
      </c>
      <c r="I6" s="22">
        <v>-13606.441985500001</v>
      </c>
      <c r="J6" s="22">
        <v>2270773.3850434162</v>
      </c>
      <c r="K6" s="22">
        <v>1451702.275132071</v>
      </c>
      <c r="L6" s="22">
        <v>248979.01679349999</v>
      </c>
      <c r="M6" s="22">
        <v>152680.6058266077</v>
      </c>
      <c r="N6" s="22">
        <v>375883.42149287474</v>
      </c>
      <c r="O6" s="22">
        <v>185584.43850712528</v>
      </c>
      <c r="P6" s="22">
        <v>40165.96</v>
      </c>
      <c r="Q6" s="22">
        <f t="shared" si="0"/>
        <v>6617971.9965401525</v>
      </c>
      <c r="S6" s="23">
        <v>3635.850867330435</v>
      </c>
      <c r="T6" s="23">
        <v>227077.33850434163</v>
      </c>
      <c r="U6" s="23">
        <v>145170.22751320709</v>
      </c>
      <c r="V6" s="23">
        <v>24897.901679350001</v>
      </c>
      <c r="W6" s="23">
        <v>15268.060582660772</v>
      </c>
      <c r="Y6" s="23">
        <v>0</v>
      </c>
      <c r="Z6" s="23">
        <v>-24929.4172855</v>
      </c>
      <c r="AA6" s="23">
        <v>-74514.196418952313</v>
      </c>
      <c r="AB6" s="23">
        <v>-106911.53802965076</v>
      </c>
      <c r="AD6" s="13">
        <v>0.10485021274460464</v>
      </c>
      <c r="AE6" s="13">
        <v>9.9678806170513987E-2</v>
      </c>
    </row>
    <row r="7" spans="2:31" x14ac:dyDescent="0.2">
      <c r="B7" s="3" t="s">
        <v>12</v>
      </c>
      <c r="C7" s="4" t="s">
        <v>13</v>
      </c>
      <c r="D7" s="3" t="s">
        <v>12</v>
      </c>
      <c r="E7" s="4" t="s">
        <v>13</v>
      </c>
      <c r="F7" s="25">
        <v>243900</v>
      </c>
      <c r="G7" s="23">
        <v>5366217.4928142102</v>
      </c>
      <c r="H7" s="23">
        <v>340469.25610853557</v>
      </c>
      <c r="I7" s="23">
        <v>-23871.89542500001</v>
      </c>
      <c r="J7" s="23">
        <v>7114773.9541194914</v>
      </c>
      <c r="K7" s="23">
        <v>3386097.1049014153</v>
      </c>
      <c r="L7" s="23">
        <v>959407.51192650013</v>
      </c>
      <c r="M7" s="23">
        <v>356127.67591552914</v>
      </c>
      <c r="N7" s="23">
        <v>1081746.840718579</v>
      </c>
      <c r="O7" s="23">
        <v>536621.74928142107</v>
      </c>
      <c r="P7" s="23">
        <v>131553.51999999999</v>
      </c>
      <c r="Q7" s="23">
        <f t="shared" si="0"/>
        <v>19249143.21036068</v>
      </c>
      <c r="S7" s="22">
        <v>31659.736068353555</v>
      </c>
      <c r="T7" s="22">
        <v>711477.39541194914</v>
      </c>
      <c r="U7" s="22">
        <v>338609.71049014153</v>
      </c>
      <c r="V7" s="22">
        <v>95940.751192650016</v>
      </c>
      <c r="W7" s="22">
        <v>35612.767591552918</v>
      </c>
      <c r="Y7" s="22">
        <v>0</v>
      </c>
      <c r="Z7" s="22">
        <v>-43737.550425000009</v>
      </c>
      <c r="AA7" s="22">
        <v>-338248.08648484224</v>
      </c>
      <c r="AB7" s="22">
        <v>-249371.27646908408</v>
      </c>
      <c r="AD7" s="13">
        <v>0.18884055278179418</v>
      </c>
      <c r="AE7" s="13">
        <v>0.28822360195599717</v>
      </c>
    </row>
    <row r="8" spans="2:31" x14ac:dyDescent="0.2">
      <c r="B8" s="5" t="s">
        <v>14</v>
      </c>
      <c r="C8" s="6" t="s">
        <v>15</v>
      </c>
      <c r="D8" s="5" t="s">
        <v>14</v>
      </c>
      <c r="E8" s="6" t="s">
        <v>15</v>
      </c>
      <c r="F8" s="21">
        <v>58454</v>
      </c>
      <c r="G8" s="22">
        <v>1286088.0579129225</v>
      </c>
      <c r="H8" s="22">
        <v>350433.76602974534</v>
      </c>
      <c r="I8" s="22">
        <v>-14102.671663080002</v>
      </c>
      <c r="J8" s="22">
        <v>1239243.967536469</v>
      </c>
      <c r="K8" s="22">
        <v>1449725.6309954913</v>
      </c>
      <c r="L8" s="22">
        <v>127469.22058277001</v>
      </c>
      <c r="M8" s="22">
        <v>152472.71524914811</v>
      </c>
      <c r="N8" s="22">
        <v>302530.07420870778</v>
      </c>
      <c r="O8" s="22">
        <v>128608.80579129225</v>
      </c>
      <c r="P8" s="22">
        <v>27994.19</v>
      </c>
      <c r="Q8" s="22">
        <f t="shared" si="0"/>
        <v>5050463.7566434667</v>
      </c>
      <c r="S8" s="23">
        <v>33633.109436666535</v>
      </c>
      <c r="T8" s="23">
        <v>123924.3967536469</v>
      </c>
      <c r="U8" s="23">
        <v>144972.56309954912</v>
      </c>
      <c r="V8" s="23">
        <v>12746.922058277001</v>
      </c>
      <c r="W8" s="23">
        <v>15247.271524914811</v>
      </c>
      <c r="Y8" s="23">
        <v>0</v>
      </c>
      <c r="Z8" s="23">
        <v>-25838.598151080001</v>
      </c>
      <c r="AA8" s="23">
        <v>-28452.839585098423</v>
      </c>
      <c r="AB8" s="23">
        <v>-106765.9668141205</v>
      </c>
      <c r="AD8" s="13">
        <v>0.1351737685872752</v>
      </c>
      <c r="AE8" s="13">
        <v>6.9076762725444274E-2</v>
      </c>
    </row>
    <row r="9" spans="2:31" x14ac:dyDescent="0.2">
      <c r="B9" s="3" t="s">
        <v>16</v>
      </c>
      <c r="C9" s="4" t="s">
        <v>17</v>
      </c>
      <c r="D9" s="3" t="s">
        <v>18</v>
      </c>
      <c r="E9" s="4" t="s">
        <v>19</v>
      </c>
      <c r="F9" s="25">
        <v>26849</v>
      </c>
      <c r="G9" s="23">
        <v>590723.95844431606</v>
      </c>
      <c r="H9" s="23">
        <v>1495233.4210977734</v>
      </c>
      <c r="I9" s="23">
        <v>127735.9449571599</v>
      </c>
      <c r="J9" s="23">
        <v>699750.71495859232</v>
      </c>
      <c r="K9" s="23">
        <v>264401.10795544938</v>
      </c>
      <c r="L9" s="23">
        <v>57046.601775954994</v>
      </c>
      <c r="M9" s="23">
        <v>0</v>
      </c>
      <c r="N9" s="23">
        <v>258712.12415556842</v>
      </c>
      <c r="O9" s="23">
        <v>59072.395844431609</v>
      </c>
      <c r="P9" s="23">
        <v>5704.66</v>
      </c>
      <c r="Q9" s="23">
        <f t="shared" si="0"/>
        <v>3558380.9291892461</v>
      </c>
      <c r="S9" s="22">
        <v>162296.93660549333</v>
      </c>
      <c r="T9" s="22">
        <v>69975.071495859229</v>
      </c>
      <c r="U9" s="22">
        <v>26440.110795544941</v>
      </c>
      <c r="V9" s="22">
        <v>5704.6601775954996</v>
      </c>
      <c r="W9" s="22">
        <v>0</v>
      </c>
      <c r="Y9" s="22">
        <v>-58568.524548702218</v>
      </c>
      <c r="Z9" s="22">
        <v>-12329.577106270001</v>
      </c>
      <c r="AA9" s="22">
        <v>-13180.506349238312</v>
      </c>
      <c r="AB9" s="22">
        <v>0</v>
      </c>
    </row>
    <row r="10" spans="2:31" x14ac:dyDescent="0.2">
      <c r="B10" s="5" t="s">
        <v>16</v>
      </c>
      <c r="C10" s="6" t="s">
        <v>17</v>
      </c>
      <c r="D10" s="5" t="s">
        <v>20</v>
      </c>
      <c r="E10" s="6" t="s">
        <v>15</v>
      </c>
      <c r="F10" s="21">
        <v>1466</v>
      </c>
      <c r="G10" s="22">
        <v>32254.509407403159</v>
      </c>
      <c r="H10" s="22">
        <v>84692.455001104143</v>
      </c>
      <c r="I10" s="22">
        <v>6033.5001843486107</v>
      </c>
      <c r="J10" s="22">
        <v>36212.479861715299</v>
      </c>
      <c r="K10" s="22">
        <v>14436.739702137467</v>
      </c>
      <c r="L10" s="22">
        <v>2731.5978</v>
      </c>
      <c r="M10" s="22">
        <v>0</v>
      </c>
      <c r="N10" s="22">
        <v>14137.519059259685</v>
      </c>
      <c r="O10" s="22">
        <v>3225.4509407403161</v>
      </c>
      <c r="P10" s="22">
        <v>273.16000000000003</v>
      </c>
      <c r="Q10" s="22">
        <f t="shared" si="0"/>
        <v>193997.4119567087</v>
      </c>
      <c r="S10" s="23">
        <v>9072.5955185452767</v>
      </c>
      <c r="T10" s="23">
        <v>3621.2479861715301</v>
      </c>
      <c r="U10" s="23">
        <v>1443.6739702137468</v>
      </c>
      <c r="V10" s="23">
        <v>273.15978000000001</v>
      </c>
      <c r="W10" s="23">
        <v>0</v>
      </c>
      <c r="Y10" s="23">
        <v>-3197.9387309917488</v>
      </c>
      <c r="Z10" s="23">
        <v>-564.43735556000013</v>
      </c>
      <c r="AA10" s="23">
        <v>-699.72554787137778</v>
      </c>
      <c r="AB10" s="23">
        <v>0</v>
      </c>
    </row>
    <row r="11" spans="2:31" x14ac:dyDescent="0.2">
      <c r="B11" s="3" t="s">
        <v>16</v>
      </c>
      <c r="C11" s="4" t="s">
        <v>17</v>
      </c>
      <c r="D11" s="3" t="s">
        <v>21</v>
      </c>
      <c r="E11" s="4" t="s">
        <v>22</v>
      </c>
      <c r="F11" s="25">
        <v>26504</v>
      </c>
      <c r="G11" s="23">
        <v>583133.36789482494</v>
      </c>
      <c r="H11" s="23">
        <v>1435470.2157228368</v>
      </c>
      <c r="I11" s="23">
        <v>121963.81403667835</v>
      </c>
      <c r="J11" s="23">
        <v>665666.95310241438</v>
      </c>
      <c r="K11" s="23">
        <v>261003.6487486026</v>
      </c>
      <c r="L11" s="23">
        <v>54788.035939120004</v>
      </c>
      <c r="M11" s="23">
        <v>0</v>
      </c>
      <c r="N11" s="23">
        <v>248410.46321051748</v>
      </c>
      <c r="O11" s="23">
        <v>58313.336789482499</v>
      </c>
      <c r="P11" s="23">
        <v>5478.8</v>
      </c>
      <c r="Q11" s="23">
        <f t="shared" si="0"/>
        <v>3434228.6354444772</v>
      </c>
      <c r="S11" s="22">
        <v>155743.4029759515</v>
      </c>
      <c r="T11" s="22">
        <v>66566.695310241441</v>
      </c>
      <c r="U11" s="22">
        <v>26100.364874860261</v>
      </c>
      <c r="V11" s="22">
        <v>5478.8035939120009</v>
      </c>
      <c r="W11" s="22">
        <v>0</v>
      </c>
      <c r="Y11" s="22">
        <v>-57815.940058803069</v>
      </c>
      <c r="Z11" s="22">
        <v>-10616.973380160001</v>
      </c>
      <c r="AA11" s="22">
        <v>-11623.328429044501</v>
      </c>
      <c r="AB11" s="22">
        <v>0</v>
      </c>
    </row>
    <row r="12" spans="2:31" x14ac:dyDescent="0.2">
      <c r="B12" s="5" t="s">
        <v>16</v>
      </c>
      <c r="C12" s="6" t="s">
        <v>17</v>
      </c>
      <c r="D12" s="5" t="s">
        <v>23</v>
      </c>
      <c r="E12" s="6" t="s">
        <v>24</v>
      </c>
      <c r="F12" s="21">
        <v>6496</v>
      </c>
      <c r="G12" s="22">
        <v>142923.11944781095</v>
      </c>
      <c r="H12" s="22">
        <v>378223.25831422221</v>
      </c>
      <c r="I12" s="22">
        <v>33002.984759647334</v>
      </c>
      <c r="J12" s="22">
        <v>180581.87048664372</v>
      </c>
      <c r="K12" s="22">
        <v>63970.710167179379</v>
      </c>
      <c r="L12" s="22">
        <v>14344.358814240002</v>
      </c>
      <c r="M12" s="22">
        <v>0</v>
      </c>
      <c r="N12" s="22">
        <v>65577.878055218898</v>
      </c>
      <c r="O12" s="22">
        <v>14292.311944781097</v>
      </c>
      <c r="P12" s="22">
        <v>1434.44</v>
      </c>
      <c r="Q12" s="22">
        <f t="shared" si="0"/>
        <v>894350.93198974337</v>
      </c>
      <c r="S12" s="23">
        <v>41122.624307386955</v>
      </c>
      <c r="T12" s="23">
        <v>18058.187048664371</v>
      </c>
      <c r="U12" s="23">
        <v>6397.0710167179386</v>
      </c>
      <c r="V12" s="23">
        <v>1434.4358814240004</v>
      </c>
      <c r="W12" s="23">
        <v>0</v>
      </c>
      <c r="Y12" s="23">
        <v>-14170.402453289495</v>
      </c>
      <c r="Z12" s="23">
        <v>-2779.4558624000001</v>
      </c>
      <c r="AA12" s="23">
        <v>-3457.7213785016534</v>
      </c>
      <c r="AB12" s="23">
        <v>0</v>
      </c>
    </row>
    <row r="13" spans="2:31" x14ac:dyDescent="0.2">
      <c r="B13" s="3" t="s">
        <v>16</v>
      </c>
      <c r="C13" s="4" t="s">
        <v>17</v>
      </c>
      <c r="D13" s="3" t="s">
        <v>25</v>
      </c>
      <c r="E13" s="4" t="s">
        <v>26</v>
      </c>
      <c r="F13" s="25">
        <v>1947</v>
      </c>
      <c r="G13" s="23">
        <v>42837.332753215524</v>
      </c>
      <c r="H13" s="23">
        <v>108663.21644544037</v>
      </c>
      <c r="I13" s="23">
        <v>7873.8012711361644</v>
      </c>
      <c r="J13" s="23">
        <v>46955.62748485952</v>
      </c>
      <c r="K13" s="23">
        <v>19173.487176031136</v>
      </c>
      <c r="L13" s="23">
        <v>3206.7222882750002</v>
      </c>
      <c r="M13" s="23">
        <v>0</v>
      </c>
      <c r="N13" s="23">
        <v>18266.616724678446</v>
      </c>
      <c r="O13" s="23">
        <v>4283.7332753215524</v>
      </c>
      <c r="P13" s="23">
        <v>320.67</v>
      </c>
      <c r="Q13" s="23">
        <f t="shared" si="0"/>
        <v>251581.2074189577</v>
      </c>
      <c r="S13" s="22">
        <v>11653.701771657654</v>
      </c>
      <c r="T13" s="22">
        <v>4695.5627484859524</v>
      </c>
      <c r="U13" s="22">
        <v>1917.3487176031138</v>
      </c>
      <c r="V13" s="22">
        <v>320.67222882750002</v>
      </c>
      <c r="W13" s="22">
        <v>0</v>
      </c>
      <c r="Y13" s="22">
        <v>-4247.194208213461</v>
      </c>
      <c r="Z13" s="22">
        <v>-802.35706452000011</v>
      </c>
      <c r="AA13" s="22">
        <v>-885.22434377662444</v>
      </c>
      <c r="AB13" s="22">
        <v>0</v>
      </c>
    </row>
    <row r="14" spans="2:31" x14ac:dyDescent="0.2">
      <c r="B14" s="5" t="s">
        <v>27</v>
      </c>
      <c r="C14" s="6" t="s">
        <v>24</v>
      </c>
      <c r="D14" s="5" t="s">
        <v>27</v>
      </c>
      <c r="E14" s="6" t="s">
        <v>24</v>
      </c>
      <c r="F14" s="21">
        <v>15490</v>
      </c>
      <c r="G14" s="22">
        <v>340806.51481628581</v>
      </c>
      <c r="H14" s="22">
        <v>55521.063433143681</v>
      </c>
      <c r="I14" s="22">
        <v>42138.853672104349</v>
      </c>
      <c r="J14" s="22">
        <v>421263.59354332101</v>
      </c>
      <c r="K14" s="22">
        <v>333100.6607827316</v>
      </c>
      <c r="L14" s="22">
        <v>34907.748492799998</v>
      </c>
      <c r="M14" s="22">
        <v>35033.361565079809</v>
      </c>
      <c r="N14" s="22">
        <v>85202.418518371414</v>
      </c>
      <c r="O14" s="22">
        <v>34080.651481628585</v>
      </c>
      <c r="P14" s="22">
        <v>6994.11</v>
      </c>
      <c r="Q14" s="22">
        <f t="shared" si="0"/>
        <v>1389048.9763054664</v>
      </c>
      <c r="S14" s="23">
        <v>9765.9917105248023</v>
      </c>
      <c r="T14" s="23">
        <v>42126.359354332104</v>
      </c>
      <c r="U14" s="23">
        <v>33310.066078273165</v>
      </c>
      <c r="V14" s="23">
        <v>3490.7748492800001</v>
      </c>
      <c r="W14" s="23">
        <v>3503.3361565079813</v>
      </c>
      <c r="Y14" s="23">
        <v>0</v>
      </c>
      <c r="Z14" s="23">
        <v>-6345.7653747999993</v>
      </c>
      <c r="AA14" s="23">
        <v>-11454.667603262043</v>
      </c>
      <c r="AB14" s="23">
        <v>-24531.410174813514</v>
      </c>
      <c r="AD14" s="13">
        <v>2.8625274662989753E-2</v>
      </c>
      <c r="AE14" s="13">
        <v>1.8304975786381288E-2</v>
      </c>
    </row>
    <row r="15" spans="2:31" x14ac:dyDescent="0.2">
      <c r="B15" s="3" t="s">
        <v>28</v>
      </c>
      <c r="C15" s="4" t="s">
        <v>26</v>
      </c>
      <c r="D15" s="3" t="s">
        <v>28</v>
      </c>
      <c r="E15" s="4" t="s">
        <v>26</v>
      </c>
      <c r="F15" s="25">
        <v>25142</v>
      </c>
      <c r="G15" s="23">
        <v>553167.03650813783</v>
      </c>
      <c r="H15" s="23">
        <v>69671.735864380738</v>
      </c>
      <c r="I15" s="23">
        <v>168230.23394190744</v>
      </c>
      <c r="J15" s="23">
        <v>782841.54110949673</v>
      </c>
      <c r="K15" s="23">
        <v>318225.08740382397</v>
      </c>
      <c r="L15" s="23">
        <v>113647.84428672999</v>
      </c>
      <c r="M15" s="23">
        <v>33468.845483224693</v>
      </c>
      <c r="N15" s="23">
        <v>133896.85634918622</v>
      </c>
      <c r="O15" s="23">
        <v>55316.703650813783</v>
      </c>
      <c r="P15" s="23">
        <v>14711.67</v>
      </c>
      <c r="Q15" s="23">
        <f t="shared" si="0"/>
        <v>2243177.5545977009</v>
      </c>
      <c r="S15" s="22">
        <v>23790.196980628822</v>
      </c>
      <c r="T15" s="22">
        <v>78284.154110949676</v>
      </c>
      <c r="U15" s="22">
        <v>31822.5087403824</v>
      </c>
      <c r="V15" s="22">
        <v>11364.784428673</v>
      </c>
      <c r="W15" s="22">
        <v>3346.8845483224695</v>
      </c>
      <c r="Y15" s="22">
        <v>0</v>
      </c>
      <c r="Z15" s="22">
        <v>-6638.8630159800005</v>
      </c>
      <c r="AA15" s="22">
        <v>-20952.535051295483</v>
      </c>
      <c r="AB15" s="22">
        <v>-23435.889105338538</v>
      </c>
      <c r="AD15" s="13">
        <v>1.5123424295244936E-2</v>
      </c>
      <c r="AE15" s="13">
        <v>2.9711020091749408E-2</v>
      </c>
    </row>
    <row r="16" spans="2:31" x14ac:dyDescent="0.2">
      <c r="B16" s="5" t="s">
        <v>29</v>
      </c>
      <c r="C16" s="6" t="s">
        <v>30</v>
      </c>
      <c r="D16" s="5" t="s">
        <v>29</v>
      </c>
      <c r="E16" s="6" t="s">
        <v>30</v>
      </c>
      <c r="F16" s="21">
        <v>22226</v>
      </c>
      <c r="G16" s="22">
        <v>489010.04508113413</v>
      </c>
      <c r="H16" s="22">
        <v>124204.37129379572</v>
      </c>
      <c r="I16" s="22">
        <v>96076.895672827275</v>
      </c>
      <c r="J16" s="22">
        <v>472058.39900901704</v>
      </c>
      <c r="K16" s="22">
        <v>465169.05280205799</v>
      </c>
      <c r="L16" s="22">
        <v>28263.938719559999</v>
      </c>
      <c r="M16" s="22">
        <v>48923.456283173567</v>
      </c>
      <c r="N16" s="22">
        <v>115750.87549188659</v>
      </c>
      <c r="O16" s="22">
        <v>48901.004508113416</v>
      </c>
      <c r="P16" s="22">
        <v>7718.74</v>
      </c>
      <c r="Q16" s="22">
        <f t="shared" si="0"/>
        <v>1896076.7788615655</v>
      </c>
      <c r="S16" s="23">
        <v>22028.126696662301</v>
      </c>
      <c r="T16" s="23">
        <v>47205.839900901708</v>
      </c>
      <c r="U16" s="23">
        <v>46516.905280205799</v>
      </c>
      <c r="V16" s="23">
        <v>2826.3938719560001</v>
      </c>
      <c r="W16" s="23">
        <v>4892.3456283173573</v>
      </c>
      <c r="Y16" s="23">
        <v>0</v>
      </c>
      <c r="Z16" s="23">
        <v>-9505.7703729599998</v>
      </c>
      <c r="AA16" s="23">
        <v>-13893.6478524883</v>
      </c>
      <c r="AB16" s="23">
        <v>-34257.670963792771</v>
      </c>
      <c r="AD16" s="13">
        <v>3.927214706587262E-2</v>
      </c>
      <c r="AE16" s="13">
        <v>2.6265099536998741E-2</v>
      </c>
    </row>
    <row r="17" spans="2:31" x14ac:dyDescent="0.2">
      <c r="B17" s="3" t="s">
        <v>31</v>
      </c>
      <c r="C17" s="4" t="s">
        <v>32</v>
      </c>
      <c r="D17" s="3" t="s">
        <v>31</v>
      </c>
      <c r="E17" s="4" t="s">
        <v>33</v>
      </c>
      <c r="F17" s="25">
        <v>23765</v>
      </c>
      <c r="G17" s="23">
        <v>522870.67944538611</v>
      </c>
      <c r="H17" s="23">
        <v>189279.78495772276</v>
      </c>
      <c r="I17" s="23">
        <v>55970.892610246665</v>
      </c>
      <c r="J17" s="23">
        <v>543445.62759125978</v>
      </c>
      <c r="K17" s="23">
        <v>583462.79760983749</v>
      </c>
      <c r="L17" s="23">
        <v>46288.805522500006</v>
      </c>
      <c r="M17" s="23">
        <v>61364.823175091355</v>
      </c>
      <c r="N17" s="23">
        <v>137215.91205546141</v>
      </c>
      <c r="O17" s="23">
        <v>52287.067944538612</v>
      </c>
      <c r="P17" s="23">
        <v>10765.36</v>
      </c>
      <c r="Q17" s="23">
        <f t="shared" si="0"/>
        <v>2202951.7509120442</v>
      </c>
      <c r="S17" s="22">
        <v>24525.067756796943</v>
      </c>
      <c r="T17" s="22">
        <v>54344.562759125984</v>
      </c>
      <c r="U17" s="22">
        <v>58346.279760983751</v>
      </c>
      <c r="V17" s="22">
        <v>4628.8805522500006</v>
      </c>
      <c r="W17" s="22">
        <v>6136.482317509136</v>
      </c>
      <c r="Y17" s="22">
        <v>0</v>
      </c>
      <c r="Z17" s="22">
        <v>-12639.677140300002</v>
      </c>
      <c r="AA17" s="22">
        <v>-24460.000715735529</v>
      </c>
      <c r="AB17" s="22">
        <v>-42969.48909160836</v>
      </c>
      <c r="AD17" s="13">
        <v>5.4119765354957161E-2</v>
      </c>
      <c r="AE17" s="13">
        <v>2.8083779829783814E-2</v>
      </c>
    </row>
    <row r="18" spans="2:31" x14ac:dyDescent="0.2">
      <c r="B18" s="5" t="s">
        <v>34</v>
      </c>
      <c r="C18" s="6" t="s">
        <v>35</v>
      </c>
      <c r="D18" s="5" t="s">
        <v>34</v>
      </c>
      <c r="E18" s="6" t="s">
        <v>35</v>
      </c>
      <c r="F18" s="21">
        <v>3259</v>
      </c>
      <c r="G18" s="22">
        <v>71703.578553019717</v>
      </c>
      <c r="H18" s="22">
        <v>27428.002437280014</v>
      </c>
      <c r="I18" s="22">
        <v>-1205.2281278800001</v>
      </c>
      <c r="J18" s="22">
        <v>83356.481893375952</v>
      </c>
      <c r="K18" s="22">
        <v>90376.513599445956</v>
      </c>
      <c r="L18" s="22">
        <v>7780.4278308749999</v>
      </c>
      <c r="M18" s="22">
        <v>9505.2140409469939</v>
      </c>
      <c r="N18" s="22">
        <v>19995.582144698026</v>
      </c>
      <c r="O18" s="22">
        <v>7170.3578553019724</v>
      </c>
      <c r="P18" s="22">
        <v>1728.56</v>
      </c>
      <c r="Q18" s="22">
        <f t="shared" si="0"/>
        <v>317839.49022706359</v>
      </c>
      <c r="S18" s="23">
        <v>2622.2774309400015</v>
      </c>
      <c r="T18" s="23">
        <v>8335.6481893375949</v>
      </c>
      <c r="U18" s="23">
        <v>9037.6513599445952</v>
      </c>
      <c r="V18" s="23">
        <v>778.04278308750008</v>
      </c>
      <c r="W18" s="23">
        <v>950.52140409469939</v>
      </c>
      <c r="Y18" s="23">
        <v>0</v>
      </c>
      <c r="Z18" s="23">
        <v>-2208.1918958800002</v>
      </c>
      <c r="AA18" s="23">
        <v>-3480.5818734844538</v>
      </c>
      <c r="AB18" s="23">
        <v>-6655.8358667553748</v>
      </c>
      <c r="AD18" s="13">
        <v>8.8818116986204895E-3</v>
      </c>
      <c r="AE18" s="13">
        <v>3.8512534595104334E-3</v>
      </c>
    </row>
    <row r="19" spans="2:31" x14ac:dyDescent="0.2">
      <c r="B19" s="7"/>
      <c r="C19" s="8"/>
      <c r="D19" s="7" t="s">
        <v>111</v>
      </c>
      <c r="E19" s="8" t="s">
        <v>182</v>
      </c>
      <c r="F19" s="26">
        <v>909480</v>
      </c>
      <c r="G19" s="27">
        <v>20010116.79116305</v>
      </c>
      <c r="H19" s="27">
        <v>5408242.5198922521</v>
      </c>
      <c r="I19" s="27">
        <v>548025.18406797608</v>
      </c>
      <c r="J19" s="27">
        <v>25397623.090328757</v>
      </c>
      <c r="K19" s="27">
        <f>14818548.580936-175000</f>
        <v>14643548.580936</v>
      </c>
      <c r="L19" s="27">
        <v>2904432.431123781</v>
      </c>
      <c r="M19" s="27">
        <v>1492996.9999999998</v>
      </c>
      <c r="N19" s="27">
        <v>4617243.9708836954</v>
      </c>
      <c r="O19" s="27">
        <v>2001011.679116305</v>
      </c>
      <c r="P19" s="27">
        <v>439742.93999999983</v>
      </c>
      <c r="Q19" s="27">
        <f>SUM(Q3:Q18)</f>
        <v>77462984.187511817</v>
      </c>
      <c r="S19" s="27">
        <v>595626.77039602282</v>
      </c>
      <c r="T19" s="27">
        <v>2539762.3090328765</v>
      </c>
      <c r="U19" s="27">
        <v>1481854.8580935993</v>
      </c>
      <c r="V19" s="27">
        <v>290443.243112378</v>
      </c>
      <c r="W19" s="27">
        <v>149299.70000000001</v>
      </c>
      <c r="Y19" s="27">
        <v>-137999.99999999997</v>
      </c>
      <c r="Z19" s="27">
        <v>-265597.76519902993</v>
      </c>
      <c r="AA19" s="27">
        <v>-1005046.1472187279</v>
      </c>
      <c r="AB19" s="27">
        <v>-1045441.2639999999</v>
      </c>
      <c r="AD19" s="34"/>
    </row>
    <row r="20" spans="2:31" x14ac:dyDescent="0.2">
      <c r="H20" s="34"/>
      <c r="I20" s="34"/>
      <c r="J20" s="34"/>
      <c r="K20" s="34"/>
    </row>
    <row r="21" spans="2:31" ht="31.5" x14ac:dyDescent="0.2">
      <c r="B21" s="28" t="s">
        <v>113</v>
      </c>
      <c r="C21" s="2" t="s">
        <v>1</v>
      </c>
      <c r="D21" s="2" t="s">
        <v>2</v>
      </c>
      <c r="E21" s="2" t="s">
        <v>3</v>
      </c>
      <c r="F21" s="2" t="s">
        <v>88</v>
      </c>
      <c r="G21" s="2" t="s">
        <v>89</v>
      </c>
      <c r="H21" s="2" t="s">
        <v>44</v>
      </c>
      <c r="I21" s="2" t="s">
        <v>45</v>
      </c>
      <c r="J21" s="2" t="s">
        <v>46</v>
      </c>
      <c r="K21" s="2" t="s">
        <v>47</v>
      </c>
      <c r="L21" s="2" t="s">
        <v>90</v>
      </c>
      <c r="M21" s="2" t="s">
        <v>91</v>
      </c>
      <c r="N21" s="2" t="s">
        <v>92</v>
      </c>
      <c r="O21" s="2" t="s">
        <v>93</v>
      </c>
      <c r="P21" s="2" t="s">
        <v>94</v>
      </c>
      <c r="Q21" s="2" t="s">
        <v>95</v>
      </c>
      <c r="S21" s="2" t="s">
        <v>96</v>
      </c>
      <c r="T21" s="2" t="s">
        <v>97</v>
      </c>
      <c r="U21" s="2" t="s">
        <v>98</v>
      </c>
      <c r="V21" s="2" t="s">
        <v>99</v>
      </c>
      <c r="W21" s="2" t="s">
        <v>100</v>
      </c>
      <c r="Y21" s="2" t="s">
        <v>101</v>
      </c>
      <c r="Z21" s="2" t="s">
        <v>102</v>
      </c>
      <c r="AA21" s="2" t="s">
        <v>103</v>
      </c>
      <c r="AB21" s="2" t="s">
        <v>104</v>
      </c>
    </row>
    <row r="22" spans="2:31" x14ac:dyDescent="0.2">
      <c r="B22" s="3" t="s">
        <v>4</v>
      </c>
      <c r="C22" s="4" t="s">
        <v>5</v>
      </c>
      <c r="D22" s="3" t="s">
        <v>4</v>
      </c>
      <c r="E22" s="4" t="s">
        <v>5</v>
      </c>
      <c r="F22" s="25"/>
      <c r="G22" s="23">
        <f>(4906.61-1635.96)*2</f>
        <v>6541.2999999999993</v>
      </c>
      <c r="H22" s="23">
        <f>(9646.46+2419.51)*2</f>
        <v>24131.94</v>
      </c>
      <c r="I22" s="23">
        <f>(-1456.98+106.99)*2</f>
        <v>-2699.98</v>
      </c>
      <c r="J22" s="23">
        <f>(-2385.9-4885.06)*2</f>
        <v>-14541.920000000002</v>
      </c>
      <c r="K22" s="23">
        <f>(31913.85+3775.67)*2</f>
        <v>71379.039999999994</v>
      </c>
      <c r="L22" s="23">
        <f>(-3947.57-1670.23)*2</f>
        <v>-11235.6</v>
      </c>
      <c r="M22" s="23">
        <f>(5632.07+970.73)*2</f>
        <v>13205.599999999999</v>
      </c>
      <c r="N22" s="23">
        <f>S22+T22+U22</f>
        <v>-36527.22</v>
      </c>
      <c r="O22" s="23">
        <f>(2967.87+405.51)*2</f>
        <v>6746.76</v>
      </c>
      <c r="P22" s="23">
        <f>V22+W22</f>
        <v>31.259999999999991</v>
      </c>
      <c r="Q22" s="23">
        <f>SUM(G22:P22)</f>
        <v>57031.179999999978</v>
      </c>
      <c r="S22" s="22">
        <f>(324.71-234.1)*2</f>
        <v>181.21999999999997</v>
      </c>
      <c r="T22" s="22">
        <f>(407.03+75.45)*2+(-7698.54-1744.78)*2</f>
        <v>-17921.68</v>
      </c>
      <c r="U22" s="22">
        <f>(-7427.04-1966.34)*2</f>
        <v>-18786.759999999998</v>
      </c>
      <c r="V22" s="22">
        <f>(-465.96-178.69)*2</f>
        <v>-1289.3</v>
      </c>
      <c r="W22" s="22">
        <f>(563.21+97.07)*2</f>
        <v>1320.56</v>
      </c>
      <c r="Y22" s="22">
        <v>0</v>
      </c>
      <c r="Z22" s="22">
        <v>-2599.81751816</v>
      </c>
      <c r="AA22" s="22">
        <v>1759.4193192816099</v>
      </c>
      <c r="AB22" s="22">
        <v>-53637.063498632502</v>
      </c>
    </row>
    <row r="23" spans="2:31" x14ac:dyDescent="0.2">
      <c r="B23" s="5" t="s">
        <v>6</v>
      </c>
      <c r="C23" s="6" t="s">
        <v>7</v>
      </c>
      <c r="D23" s="5" t="s">
        <v>6</v>
      </c>
      <c r="E23" s="6" t="s">
        <v>7</v>
      </c>
      <c r="F23" s="21"/>
      <c r="G23" s="22">
        <f>51226.46*2</f>
        <v>102452.92</v>
      </c>
      <c r="H23" s="22">
        <f>41594.19*2</f>
        <v>83188.38</v>
      </c>
      <c r="I23" s="22">
        <f>2111.72*2</f>
        <v>4223.4399999999996</v>
      </c>
      <c r="J23" s="22">
        <f>31553.52*2</f>
        <v>63107.040000000001</v>
      </c>
      <c r="K23" s="22">
        <f>331315.3*2</f>
        <v>662630.6</v>
      </c>
      <c r="L23" s="22">
        <f>-33369.04*2</f>
        <v>-66738.080000000002</v>
      </c>
      <c r="M23" s="22">
        <f>43738.54*2</f>
        <v>87477.08</v>
      </c>
      <c r="N23" s="22">
        <f t="shared" ref="N23:N37" si="1">S23+T23+U23</f>
        <v>-178626.84</v>
      </c>
      <c r="O23" s="22">
        <f>405.51*2</f>
        <v>811.02</v>
      </c>
      <c r="P23" s="22">
        <f t="shared" ref="P23:P37" si="2">V23+W23</f>
        <v>1325.6399999999994</v>
      </c>
      <c r="Q23" s="22">
        <f t="shared" ref="Q23:Q37" si="3">SUM(G23:P23)</f>
        <v>759851.20000000007</v>
      </c>
      <c r="S23" s="23">
        <f>-7856.84*2</f>
        <v>-15713.68</v>
      </c>
      <c r="T23" s="23">
        <f>(2300.53-53915.5)*2</f>
        <v>-103229.94</v>
      </c>
      <c r="U23" s="23">
        <f>-29841.61*2</f>
        <v>-59683.22</v>
      </c>
      <c r="V23" s="23">
        <f>-3711.04*2</f>
        <v>-7422.08</v>
      </c>
      <c r="W23" s="23">
        <f>4373.86*2</f>
        <v>8747.7199999999993</v>
      </c>
      <c r="Y23" s="23">
        <v>0</v>
      </c>
      <c r="Z23" s="23">
        <v>2672.9053900600002</v>
      </c>
      <c r="AA23" s="23">
        <v>-28100.977888514099</v>
      </c>
      <c r="AB23" s="23">
        <v>-185737.88439605001</v>
      </c>
    </row>
    <row r="24" spans="2:31" x14ac:dyDescent="0.2">
      <c r="B24" s="3" t="s">
        <v>8</v>
      </c>
      <c r="C24" s="4" t="s">
        <v>9</v>
      </c>
      <c r="D24" s="3" t="s">
        <v>8</v>
      </c>
      <c r="E24" s="4" t="s">
        <v>9</v>
      </c>
      <c r="F24" s="25"/>
      <c r="G24" s="23">
        <f>8516.18*2</f>
        <v>17032.36</v>
      </c>
      <c r="H24" s="23">
        <f>382.86*2</f>
        <v>765.72</v>
      </c>
      <c r="I24" s="23">
        <f>-6602.07*2</f>
        <v>-13204.14</v>
      </c>
      <c r="J24" s="23">
        <f>-25770.22*2</f>
        <v>-51540.44</v>
      </c>
      <c r="K24" s="23">
        <f>176389.3*2</f>
        <v>352778.6</v>
      </c>
      <c r="L24" s="23">
        <f>-25011.44*2</f>
        <v>-50022.879999999997</v>
      </c>
      <c r="M24" s="23">
        <f>25857.29*2</f>
        <v>51714.58</v>
      </c>
      <c r="N24" s="23">
        <f t="shared" si="1"/>
        <v>-123780.29999999999</v>
      </c>
      <c r="O24" s="23">
        <f>24054.72*2</f>
        <v>48109.440000000002</v>
      </c>
      <c r="P24" s="23">
        <f t="shared" si="2"/>
        <v>-423.0600000000004</v>
      </c>
      <c r="Q24" s="23">
        <f t="shared" si="3"/>
        <v>231429.88</v>
      </c>
      <c r="S24" s="22">
        <f>-2944.78*2</f>
        <v>-5889.56</v>
      </c>
      <c r="T24" s="22">
        <f>(1506.57-37571.42)*2</f>
        <v>-72129.7</v>
      </c>
      <c r="U24" s="22">
        <f>-22880.52*2</f>
        <v>-45761.04</v>
      </c>
      <c r="V24" s="22">
        <f>-2797.26*2</f>
        <v>-5594.52</v>
      </c>
      <c r="W24" s="22">
        <f>2585.73*2</f>
        <v>5171.46</v>
      </c>
      <c r="Y24" s="22">
        <v>0</v>
      </c>
      <c r="Z24" s="22">
        <v>-13446.57710328</v>
      </c>
      <c r="AA24" s="22">
        <v>-10256.5958456307</v>
      </c>
      <c r="AB24" s="22">
        <v>-145485.79462048199</v>
      </c>
    </row>
    <row r="25" spans="2:31" x14ac:dyDescent="0.2">
      <c r="B25" s="5" t="s">
        <v>10</v>
      </c>
      <c r="C25" s="6" t="s">
        <v>11</v>
      </c>
      <c r="D25" s="5" t="s">
        <v>10</v>
      </c>
      <c r="E25" s="6" t="s">
        <v>11</v>
      </c>
      <c r="F25" s="21"/>
      <c r="G25" s="22">
        <f>-8306.39*2</f>
        <v>-16612.78</v>
      </c>
      <c r="H25" s="22">
        <f>2189.96*2</f>
        <v>4379.92</v>
      </c>
      <c r="I25" s="22">
        <f>-4354.11*2</f>
        <v>-8708.2199999999993</v>
      </c>
      <c r="J25" s="22">
        <f>-38200.94*2</f>
        <v>-76401.88</v>
      </c>
      <c r="K25" s="22">
        <f>78002.33*2</f>
        <v>156004.66</v>
      </c>
      <c r="L25" s="22">
        <f>-10584.36*2</f>
        <v>-21168.720000000001</v>
      </c>
      <c r="M25" s="22">
        <f>12557.22*2</f>
        <v>25114.44</v>
      </c>
      <c r="N25" s="22">
        <f t="shared" si="1"/>
        <v>-83038.880000000005</v>
      </c>
      <c r="O25" s="22">
        <f>15385.26*2</f>
        <v>30770.52</v>
      </c>
      <c r="P25" s="22">
        <f t="shared" si="2"/>
        <v>244.57999999999993</v>
      </c>
      <c r="Q25" s="22">
        <f t="shared" si="3"/>
        <v>10583.639999999994</v>
      </c>
      <c r="S25" s="23">
        <f>-1663.77*2</f>
        <v>-3327.54</v>
      </c>
      <c r="T25" s="23">
        <f>(997.66-22729.24)*2</f>
        <v>-43463.16</v>
      </c>
      <c r="U25" s="23">
        <f>-18124.09*2</f>
        <v>-36248.18</v>
      </c>
      <c r="V25" s="23">
        <f>-1133.43*2</f>
        <v>-2266.86</v>
      </c>
      <c r="W25" s="23">
        <f>1255.72*2</f>
        <v>2511.44</v>
      </c>
      <c r="Y25" s="23">
        <v>0</v>
      </c>
      <c r="Z25" s="23">
        <v>-8924.5827145000003</v>
      </c>
      <c r="AA25" s="23">
        <v>788.80641895231395</v>
      </c>
      <c r="AB25" s="23">
        <v>-81588.971970349201</v>
      </c>
    </row>
    <row r="26" spans="2:31" x14ac:dyDescent="0.2">
      <c r="B26" s="3" t="s">
        <v>12</v>
      </c>
      <c r="C26" s="4" t="s">
        <v>13</v>
      </c>
      <c r="D26" s="3" t="s">
        <v>12</v>
      </c>
      <c r="E26" s="4" t="s">
        <v>13</v>
      </c>
      <c r="F26" s="25"/>
      <c r="G26" s="23">
        <f>-26927.49*2</f>
        <v>-53854.98</v>
      </c>
      <c r="H26" s="23">
        <f>4120.1*2</f>
        <v>8240.2000000000007</v>
      </c>
      <c r="I26" s="23">
        <f>-1566.13*2</f>
        <v>-3132.26</v>
      </c>
      <c r="J26" s="23">
        <f>-84265.87*2</f>
        <v>-168531.74</v>
      </c>
      <c r="K26" s="23">
        <f>274468.14*2</f>
        <v>548936.28</v>
      </c>
      <c r="L26" s="23">
        <f>-70075.43*2</f>
        <v>-140150.85999999999</v>
      </c>
      <c r="M26" s="23">
        <f>37482.81*2</f>
        <v>74965.62</v>
      </c>
      <c r="N26" s="23">
        <f t="shared" si="1"/>
        <v>-201524.47999999998</v>
      </c>
      <c r="O26" s="23">
        <f>8525.92*2</f>
        <v>17051.84</v>
      </c>
      <c r="P26" s="23">
        <f t="shared" si="2"/>
        <v>-7562.579999999999</v>
      </c>
      <c r="Q26" s="23">
        <f t="shared" si="3"/>
        <v>74437.040000000023</v>
      </c>
      <c r="S26" s="22">
        <f>-7286.24*2</f>
        <v>-14572.48</v>
      </c>
      <c r="T26" s="22">
        <f>(1714.12-57934.96)*2</f>
        <v>-112441.68</v>
      </c>
      <c r="U26" s="22">
        <f>-37255.16*2</f>
        <v>-74510.320000000007</v>
      </c>
      <c r="V26" s="22">
        <f>-7529.57*2</f>
        <v>-15059.14</v>
      </c>
      <c r="W26" s="22">
        <f>3748.28*2</f>
        <v>7496.56</v>
      </c>
      <c r="Y26" s="22">
        <v>0</v>
      </c>
      <c r="Z26" s="22">
        <v>-2194.8695749999902</v>
      </c>
      <c r="AA26" s="22">
        <v>6690.3164848422102</v>
      </c>
      <c r="AB26" s="22">
        <v>-170795.49353091599</v>
      </c>
    </row>
    <row r="27" spans="2:31" x14ac:dyDescent="0.2">
      <c r="B27" s="5" t="s">
        <v>14</v>
      </c>
      <c r="C27" s="6" t="s">
        <v>15</v>
      </c>
      <c r="D27" s="5" t="s">
        <v>14</v>
      </c>
      <c r="E27" s="6" t="s">
        <v>15</v>
      </c>
      <c r="F27" s="21"/>
      <c r="G27" s="22">
        <f>3111.94*2</f>
        <v>6223.88</v>
      </c>
      <c r="H27" s="22">
        <f>55372.56*2</f>
        <v>110745.12</v>
      </c>
      <c r="I27" s="22">
        <f>358.31*2</f>
        <v>716.62</v>
      </c>
      <c r="J27" s="22">
        <f>-19399.99*2</f>
        <v>-38799.980000000003</v>
      </c>
      <c r="K27" s="22">
        <f>101204.6*2</f>
        <v>202409.2</v>
      </c>
      <c r="L27" s="22">
        <f>-5861.75*2</f>
        <v>-11723.5</v>
      </c>
      <c r="M27" s="22">
        <f>14262.82*2</f>
        <v>28525.64</v>
      </c>
      <c r="N27" s="22">
        <f t="shared" si="1"/>
        <v>-64698.44</v>
      </c>
      <c r="O27" s="22">
        <f>24493.35*2</f>
        <v>48986.7</v>
      </c>
      <c r="P27" s="22">
        <f t="shared" si="2"/>
        <v>1647.76</v>
      </c>
      <c r="Q27" s="22">
        <f t="shared" si="3"/>
        <v>284033</v>
      </c>
      <c r="S27" s="23">
        <f>-1762.73*2</f>
        <v>-3525.46</v>
      </c>
      <c r="T27" s="23">
        <f>(1000.72-14543.17)*2</f>
        <v>-27084.9</v>
      </c>
      <c r="U27" s="23">
        <f>-17044.04*2</f>
        <v>-34088.080000000002</v>
      </c>
      <c r="V27" s="23">
        <f>-602.4*2</f>
        <v>-1204.8</v>
      </c>
      <c r="W27" s="23">
        <f>1426.28*2</f>
        <v>2852.56</v>
      </c>
      <c r="Y27" s="23">
        <v>0</v>
      </c>
      <c r="Z27" s="23">
        <v>1703.9981510800001</v>
      </c>
      <c r="AA27" s="23">
        <v>-2628.2904149015799</v>
      </c>
      <c r="AB27" s="23">
        <v>-69668.773185879501</v>
      </c>
    </row>
    <row r="28" spans="2:31" x14ac:dyDescent="0.2">
      <c r="B28" s="3" t="s">
        <v>16</v>
      </c>
      <c r="C28" s="4" t="s">
        <v>17</v>
      </c>
      <c r="D28" s="3" t="s">
        <v>18</v>
      </c>
      <c r="E28" s="4" t="s">
        <v>19</v>
      </c>
      <c r="F28" s="25"/>
      <c r="G28" s="23">
        <f>-2465.96*2</f>
        <v>-4931.92</v>
      </c>
      <c r="H28" s="23">
        <f>-30029.28*2</f>
        <v>-60058.559999999998</v>
      </c>
      <c r="I28" s="23">
        <f>-3100.81*2</f>
        <v>-6201.62</v>
      </c>
      <c r="J28" s="23">
        <f>-14878.4*2</f>
        <v>-29756.799999999999</v>
      </c>
      <c r="K28" s="23">
        <f>1028.17*2</f>
        <v>2056.34</v>
      </c>
      <c r="L28" s="23">
        <f>-4549.4*2</f>
        <v>-9098.7999999999993</v>
      </c>
      <c r="M28" s="23">
        <f>59.49*2</f>
        <v>118.98</v>
      </c>
      <c r="N28" s="23">
        <f t="shared" si="1"/>
        <v>-40531.94</v>
      </c>
      <c r="O28" s="23">
        <f>6394.74*2</f>
        <v>12789.48</v>
      </c>
      <c r="P28" s="23">
        <f t="shared" si="2"/>
        <v>-897.98</v>
      </c>
      <c r="Q28" s="23">
        <f t="shared" si="3"/>
        <v>-136512.82</v>
      </c>
      <c r="S28" s="22">
        <f>-7564.01*2</f>
        <v>-15128.02</v>
      </c>
      <c r="T28" s="22">
        <f>(-753.68-9152.5)*2</f>
        <v>-19812.36</v>
      </c>
      <c r="U28" s="22">
        <f>-2795.78*2</f>
        <v>-5591.56</v>
      </c>
      <c r="V28" s="22">
        <f>-454.94*2</f>
        <v>-909.88</v>
      </c>
      <c r="W28" s="22">
        <f>5.95*2</f>
        <v>11.9</v>
      </c>
      <c r="Y28" s="22">
        <v>-76552.375451297805</v>
      </c>
      <c r="Z28" s="22">
        <v>1961.35710627</v>
      </c>
      <c r="AA28" s="22">
        <v>-1631.2336507616899</v>
      </c>
      <c r="AB28" s="22">
        <v>-166.68</v>
      </c>
    </row>
    <row r="29" spans="2:31" x14ac:dyDescent="0.2">
      <c r="B29" s="5" t="s">
        <v>16</v>
      </c>
      <c r="C29" s="6" t="s">
        <v>17</v>
      </c>
      <c r="D29" s="5" t="s">
        <v>20</v>
      </c>
      <c r="E29" s="6" t="s">
        <v>15</v>
      </c>
      <c r="F29" s="21"/>
      <c r="G29" s="22">
        <f>217.49*2</f>
        <v>434.98</v>
      </c>
      <c r="H29" s="22">
        <f>-3061.38*2</f>
        <v>-6122.76</v>
      </c>
      <c r="I29" s="22">
        <f>582.83*2</f>
        <v>1165.6600000000001</v>
      </c>
      <c r="J29" s="22">
        <f>1161.24*2</f>
        <v>2322.48</v>
      </c>
      <c r="K29" s="22">
        <f>109.24*2</f>
        <v>218.48</v>
      </c>
      <c r="L29" s="22">
        <f>36.04*2</f>
        <v>72.08</v>
      </c>
      <c r="M29" s="22">
        <v>0</v>
      </c>
      <c r="N29" s="22">
        <f t="shared" si="1"/>
        <v>-1400.96</v>
      </c>
      <c r="O29" s="22">
        <f>2723.6*2</f>
        <v>5447.2</v>
      </c>
      <c r="P29" s="22">
        <f t="shared" si="2"/>
        <v>7.2</v>
      </c>
      <c r="Q29" s="22">
        <f t="shared" si="3"/>
        <v>2144.3599999999988</v>
      </c>
      <c r="S29" s="23">
        <f>-214.65*2</f>
        <v>-429.3</v>
      </c>
      <c r="T29" s="23">
        <f>(25.47-363.41)*2</f>
        <v>-675.88000000000011</v>
      </c>
      <c r="U29" s="23">
        <f>-147.89*2</f>
        <v>-295.77999999999997</v>
      </c>
      <c r="V29" s="23">
        <f>3.6*2</f>
        <v>7.2</v>
      </c>
      <c r="W29" s="23">
        <v>0</v>
      </c>
      <c r="Y29" s="23">
        <v>-9065.5812690082494</v>
      </c>
      <c r="Z29" s="23">
        <v>67.777355560000103</v>
      </c>
      <c r="AA29" s="23">
        <v>-88.664452128622202</v>
      </c>
      <c r="AB29" s="23">
        <v>0</v>
      </c>
    </row>
    <row r="30" spans="2:31" x14ac:dyDescent="0.2">
      <c r="B30" s="3" t="s">
        <v>16</v>
      </c>
      <c r="C30" s="4" t="s">
        <v>17</v>
      </c>
      <c r="D30" s="3" t="s">
        <v>21</v>
      </c>
      <c r="E30" s="4" t="s">
        <v>22</v>
      </c>
      <c r="F30" s="25"/>
      <c r="G30" s="23">
        <f>-6689.37*2</f>
        <v>-13378.74</v>
      </c>
      <c r="H30" s="23">
        <f>-16840.64*2</f>
        <v>-33681.279999999999</v>
      </c>
      <c r="I30" s="23">
        <f>888.22*2</f>
        <v>1776.44</v>
      </c>
      <c r="J30" s="23">
        <f>8653.4*2</f>
        <v>17306.8</v>
      </c>
      <c r="K30" s="23">
        <f>958.25*2</f>
        <v>1916.5</v>
      </c>
      <c r="L30" s="23">
        <f>-3038.66*2</f>
        <v>-6077.32</v>
      </c>
      <c r="M30" s="23">
        <f>166.1*2</f>
        <v>332.2</v>
      </c>
      <c r="N30" s="23">
        <f t="shared" si="1"/>
        <v>-17180.54</v>
      </c>
      <c r="O30" s="23">
        <f>168.02*2</f>
        <v>336.04</v>
      </c>
      <c r="P30" s="23">
        <f t="shared" si="2"/>
        <v>-574.52</v>
      </c>
      <c r="Q30" s="23">
        <f t="shared" si="3"/>
        <v>-49224.419999999991</v>
      </c>
      <c r="S30" s="22">
        <f>1366.44*2</f>
        <v>2732.88</v>
      </c>
      <c r="T30" s="22">
        <f>(-398.03-6778.27)*2</f>
        <v>-14352.6</v>
      </c>
      <c r="U30" s="22">
        <f>-2780.41*2</f>
        <v>-5560.82</v>
      </c>
      <c r="V30" s="22">
        <f>-303.87*2</f>
        <v>-607.74</v>
      </c>
      <c r="W30" s="22">
        <f>16.61*2</f>
        <v>33.22</v>
      </c>
      <c r="Y30" s="22">
        <v>-166811.99994119699</v>
      </c>
      <c r="Z30" s="22">
        <v>1028.99338016</v>
      </c>
      <c r="AA30" s="22">
        <v>-2428.7015709554998</v>
      </c>
      <c r="AB30" s="22">
        <v>-400.83</v>
      </c>
    </row>
    <row r="31" spans="2:31" x14ac:dyDescent="0.2">
      <c r="B31" s="5" t="s">
        <v>16</v>
      </c>
      <c r="C31" s="6" t="s">
        <v>17</v>
      </c>
      <c r="D31" s="5" t="s">
        <v>23</v>
      </c>
      <c r="E31" s="6" t="s">
        <v>24</v>
      </c>
      <c r="F31" s="21"/>
      <c r="G31" s="22">
        <f>-55.12*2</f>
        <v>-110.24</v>
      </c>
      <c r="H31" s="22">
        <f>7892.47*2</f>
        <v>15784.94</v>
      </c>
      <c r="I31" s="22">
        <f>-1701.1*2</f>
        <v>-3402.2</v>
      </c>
      <c r="J31" s="22">
        <f>-1837.16*2</f>
        <v>-3674.32</v>
      </c>
      <c r="K31" s="22">
        <f>41021.88*2</f>
        <v>82043.759999999995</v>
      </c>
      <c r="L31" s="22">
        <f>-870.68*2</f>
        <v>-1741.36</v>
      </c>
      <c r="M31" s="22">
        <f>4882.72*2</f>
        <v>9765.44</v>
      </c>
      <c r="N31" s="22">
        <f t="shared" si="1"/>
        <v>-5508.119999999999</v>
      </c>
      <c r="O31" s="22">
        <f>2455.25*2</f>
        <v>4910.5</v>
      </c>
      <c r="P31" s="22">
        <f t="shared" si="2"/>
        <v>802.4</v>
      </c>
      <c r="Q31" s="22">
        <f t="shared" si="3"/>
        <v>98870.8</v>
      </c>
      <c r="S31" s="23">
        <f>-2084.78*2</f>
        <v>-4169.5600000000004</v>
      </c>
      <c r="T31" s="23">
        <f>(-275.31-2142.4)*2</f>
        <v>-4835.42</v>
      </c>
      <c r="U31" s="23">
        <f>1748.43*2</f>
        <v>3496.86</v>
      </c>
      <c r="V31" s="23">
        <f>-87.07*2</f>
        <v>-174.14</v>
      </c>
      <c r="W31" s="23">
        <f>488.27*2</f>
        <v>976.54</v>
      </c>
      <c r="Y31" s="23">
        <v>5421.1024532894999</v>
      </c>
      <c r="Z31" s="23">
        <v>358.47586239999998</v>
      </c>
      <c r="AA31" s="23">
        <v>-303.01862149834602</v>
      </c>
      <c r="AB31" s="23">
        <v>-11382.44</v>
      </c>
    </row>
    <row r="32" spans="2:31" x14ac:dyDescent="0.2">
      <c r="B32" s="3" t="s">
        <v>16</v>
      </c>
      <c r="C32" s="4" t="s">
        <v>17</v>
      </c>
      <c r="D32" s="3" t="s">
        <v>25</v>
      </c>
      <c r="E32" s="4" t="s">
        <v>26</v>
      </c>
      <c r="F32" s="25"/>
      <c r="G32" s="23">
        <f>-553.33*2</f>
        <v>-1106.6600000000001</v>
      </c>
      <c r="H32" s="23">
        <f>3948.29*2</f>
        <v>7896.58</v>
      </c>
      <c r="I32" s="23">
        <f>-2239.18*2</f>
        <v>-4478.3599999999997</v>
      </c>
      <c r="J32" s="23">
        <f>1007.74*2</f>
        <v>2015.48</v>
      </c>
      <c r="K32" s="23">
        <f>295.07*2</f>
        <v>590.14</v>
      </c>
      <c r="L32" s="23">
        <f>38.04*2</f>
        <v>76.08</v>
      </c>
      <c r="M32" s="23">
        <f>41.15*2</f>
        <v>82.3</v>
      </c>
      <c r="N32" s="23">
        <f t="shared" si="1"/>
        <v>-1967.7</v>
      </c>
      <c r="O32" s="23">
        <f>688.66*2</f>
        <v>1377.32</v>
      </c>
      <c r="P32" s="23">
        <f t="shared" si="2"/>
        <v>15.84</v>
      </c>
      <c r="Q32" s="23">
        <f t="shared" si="3"/>
        <v>4501.0200000000013</v>
      </c>
      <c r="S32" s="22">
        <f>-90.87*2</f>
        <v>-181.74</v>
      </c>
      <c r="T32" s="22">
        <f>(-227.25-474.13)*2</f>
        <v>-1402.76</v>
      </c>
      <c r="U32" s="22">
        <f>-191.6*2</f>
        <v>-383.2</v>
      </c>
      <c r="V32" s="22">
        <f>3.8*2</f>
        <v>7.6</v>
      </c>
      <c r="W32" s="22">
        <f>4.12*2</f>
        <v>8.24</v>
      </c>
      <c r="Y32" s="22">
        <v>-280.26579178653901</v>
      </c>
      <c r="Z32" s="22">
        <v>7.7370645200001</v>
      </c>
      <c r="AA32" s="22">
        <v>-160.62565622337499</v>
      </c>
      <c r="AB32" s="22">
        <v>-103.09</v>
      </c>
    </row>
    <row r="33" spans="2:30" x14ac:dyDescent="0.2">
      <c r="B33" s="5" t="s">
        <v>27</v>
      </c>
      <c r="C33" s="6" t="s">
        <v>24</v>
      </c>
      <c r="D33" s="5" t="s">
        <v>27</v>
      </c>
      <c r="E33" s="6" t="s">
        <v>24</v>
      </c>
      <c r="F33" s="21"/>
      <c r="G33" s="22">
        <f>303.49*2</f>
        <v>606.98</v>
      </c>
      <c r="H33" s="22">
        <f>6442.49*2</f>
        <v>12884.98</v>
      </c>
      <c r="I33" s="22">
        <f>-1943.19*2</f>
        <v>-3886.38</v>
      </c>
      <c r="J33" s="22">
        <f>-7683.24*2</f>
        <v>-15366.48</v>
      </c>
      <c r="K33" s="22">
        <f>21834.88*2</f>
        <v>43669.760000000002</v>
      </c>
      <c r="L33" s="22">
        <f>-2230.65*2</f>
        <v>-4461.3</v>
      </c>
      <c r="M33" s="22">
        <f>3127.54*2</f>
        <v>6255.08</v>
      </c>
      <c r="N33" s="22">
        <f t="shared" si="1"/>
        <v>-20267.400000000001</v>
      </c>
      <c r="O33" s="22">
        <f>176.97*2</f>
        <v>353.94</v>
      </c>
      <c r="P33" s="22">
        <f t="shared" si="2"/>
        <v>161.51999999999998</v>
      </c>
      <c r="Q33" s="22">
        <f t="shared" si="3"/>
        <v>19950.699999999997</v>
      </c>
      <c r="S33" s="23">
        <f>-688.97*2</f>
        <v>-1377.94</v>
      </c>
      <c r="T33" s="23">
        <f>(-128.78-5308.12)*2</f>
        <v>-10873.8</v>
      </c>
      <c r="U33" s="23">
        <f>-4007.83*2</f>
        <v>-8015.66</v>
      </c>
      <c r="V33" s="23">
        <f>-231.99*2</f>
        <v>-463.98</v>
      </c>
      <c r="W33" s="23">
        <f>312.75*2</f>
        <v>625.5</v>
      </c>
      <c r="Y33" s="23">
        <v>0</v>
      </c>
      <c r="Z33" s="23">
        <v>-1614.6946252</v>
      </c>
      <c r="AA33" s="23">
        <v>-853.10239673795695</v>
      </c>
      <c r="AB33" s="23">
        <v>-15822.299825186499</v>
      </c>
    </row>
    <row r="34" spans="2:30" x14ac:dyDescent="0.2">
      <c r="B34" s="3" t="s">
        <v>28</v>
      </c>
      <c r="C34" s="4" t="s">
        <v>26</v>
      </c>
      <c r="D34" s="3" t="s">
        <v>28</v>
      </c>
      <c r="E34" s="4" t="s">
        <v>26</v>
      </c>
      <c r="F34" s="25"/>
      <c r="G34" s="23">
        <f>3146.96*2</f>
        <v>6293.92</v>
      </c>
      <c r="H34" s="23">
        <f>-5528.65*2</f>
        <v>-11057.3</v>
      </c>
      <c r="I34" s="23">
        <f>2607.26*2</f>
        <v>5214.5200000000004</v>
      </c>
      <c r="J34" s="23">
        <f>-50361.2*2</f>
        <v>-100722.4</v>
      </c>
      <c r="K34" s="23">
        <f>36634.22*2</f>
        <v>73268.44</v>
      </c>
      <c r="L34" s="23">
        <f>-25928.68*2</f>
        <v>-51857.36</v>
      </c>
      <c r="M34" s="23">
        <f>4583.19*2</f>
        <v>9166.3799999999992</v>
      </c>
      <c r="N34" s="23">
        <f t="shared" si="1"/>
        <v>-30633.360000000004</v>
      </c>
      <c r="O34" s="23">
        <f>1665.99*2</f>
        <v>3331.98</v>
      </c>
      <c r="P34" s="23">
        <f t="shared" si="2"/>
        <v>-4300.0599999999995</v>
      </c>
      <c r="Q34" s="23">
        <f t="shared" si="3"/>
        <v>-101295.23999999999</v>
      </c>
      <c r="S34" s="22">
        <f>-1431.78*2</f>
        <v>-2863.56</v>
      </c>
      <c r="T34" s="22">
        <f>(-556.11-10477.28)*2</f>
        <v>-22066.780000000002</v>
      </c>
      <c r="U34" s="22">
        <f>-2851.51*2</f>
        <v>-5703.02</v>
      </c>
      <c r="V34" s="22">
        <f>-2608.35*2</f>
        <v>-5216.7</v>
      </c>
      <c r="W34" s="22">
        <f>458.32*2</f>
        <v>916.64</v>
      </c>
      <c r="Y34" s="22">
        <v>0</v>
      </c>
      <c r="Z34" s="22">
        <v>1820.8030159800001</v>
      </c>
      <c r="AA34" s="22">
        <v>-542.98494870451805</v>
      </c>
      <c r="AB34" s="22">
        <v>-15800.8408946615</v>
      </c>
    </row>
    <row r="35" spans="2:30" x14ac:dyDescent="0.2">
      <c r="B35" s="5" t="s">
        <v>29</v>
      </c>
      <c r="C35" s="6" t="s">
        <v>30</v>
      </c>
      <c r="D35" s="5" t="s">
        <v>29</v>
      </c>
      <c r="E35" s="6" t="s">
        <v>30</v>
      </c>
      <c r="F35" s="21"/>
      <c r="G35" s="22">
        <f>-3184.05*2</f>
        <v>-6368.1</v>
      </c>
      <c r="H35" s="22">
        <f>3385.33*2</f>
        <v>6770.66</v>
      </c>
      <c r="I35" s="22">
        <f>759.17*2</f>
        <v>1518.34</v>
      </c>
      <c r="J35" s="22">
        <f>188.19*2</f>
        <v>376.38</v>
      </c>
      <c r="K35" s="22">
        <f>36608.25*2</f>
        <v>73216.5</v>
      </c>
      <c r="L35" s="22">
        <f>-1272.54*2</f>
        <v>-2545.08</v>
      </c>
      <c r="M35" s="22">
        <f>4866.6*2</f>
        <v>9733.2000000000007</v>
      </c>
      <c r="N35" s="22">
        <f t="shared" si="1"/>
        <v>-29114.699999999997</v>
      </c>
      <c r="O35" s="22">
        <f>2849.65*2</f>
        <v>5699.3</v>
      </c>
      <c r="P35" s="22">
        <f t="shared" si="2"/>
        <v>704.74</v>
      </c>
      <c r="Q35" s="22">
        <f t="shared" si="3"/>
        <v>59991.24</v>
      </c>
      <c r="S35" s="23">
        <f>-2078.37*2</f>
        <v>-4156.74</v>
      </c>
      <c r="T35" s="23">
        <f>(-492.99-6694.86)*2</f>
        <v>-14375.699999999999</v>
      </c>
      <c r="U35" s="23">
        <f>-5291.13*2</f>
        <v>-10582.26</v>
      </c>
      <c r="V35" s="23">
        <f>-134.29*2</f>
        <v>-268.58</v>
      </c>
      <c r="W35" s="23">
        <f>486.66*2</f>
        <v>973.32</v>
      </c>
      <c r="Y35" s="23">
        <v>0</v>
      </c>
      <c r="Z35" s="23">
        <v>1395.85037296</v>
      </c>
      <c r="AA35" s="23">
        <v>-812.55214751170001</v>
      </c>
      <c r="AB35" s="23">
        <v>-19946.509036207201</v>
      </c>
    </row>
    <row r="36" spans="2:30" x14ac:dyDescent="0.2">
      <c r="B36" s="3" t="s">
        <v>31</v>
      </c>
      <c r="C36" s="4" t="s">
        <v>32</v>
      </c>
      <c r="D36" s="3" t="s">
        <v>31</v>
      </c>
      <c r="E36" s="4" t="s">
        <v>33</v>
      </c>
      <c r="F36" s="25"/>
      <c r="G36" s="23">
        <f>-1338.68*2</f>
        <v>-2677.36</v>
      </c>
      <c r="H36" s="23">
        <f>28658.49*2</f>
        <v>57316.98</v>
      </c>
      <c r="I36" s="23">
        <f>2833.85*2</f>
        <v>5667.7</v>
      </c>
      <c r="J36" s="23">
        <f>-2120.09*2</f>
        <v>-4240.18</v>
      </c>
      <c r="K36" s="23">
        <f>36524.83*2</f>
        <v>73049.66</v>
      </c>
      <c r="L36" s="23">
        <f>-3721.31*2</f>
        <v>-7442.62</v>
      </c>
      <c r="M36" s="23">
        <f>5194.32*2</f>
        <v>10388.64</v>
      </c>
      <c r="N36" s="23">
        <f t="shared" si="1"/>
        <v>-28938.799999999999</v>
      </c>
      <c r="O36" s="23">
        <f>2191.98*2</f>
        <v>4383.96</v>
      </c>
      <c r="P36" s="23">
        <f t="shared" si="2"/>
        <v>233.91999999999985</v>
      </c>
      <c r="Q36" s="23">
        <f t="shared" si="3"/>
        <v>107741.90000000001</v>
      </c>
      <c r="S36" s="22">
        <f>-2133.13*2</f>
        <v>-4266.26</v>
      </c>
      <c r="T36" s="22">
        <f>(1125.8-6267.98)*2</f>
        <v>-10284.359999999999</v>
      </c>
      <c r="U36" s="22">
        <f>-7194.09*2</f>
        <v>-14388.18</v>
      </c>
      <c r="V36" s="22">
        <f>-402.47*2</f>
        <v>-804.94</v>
      </c>
      <c r="W36" s="22">
        <f>519.43*2</f>
        <v>1038.8599999999999</v>
      </c>
      <c r="Y36" s="22">
        <v>0</v>
      </c>
      <c r="Z36" s="22">
        <v>813.25714030000199</v>
      </c>
      <c r="AA36" s="22">
        <v>-657.92928426447202</v>
      </c>
      <c r="AB36" s="22">
        <v>-25420.730908391601</v>
      </c>
    </row>
    <row r="37" spans="2:30" x14ac:dyDescent="0.2">
      <c r="B37" s="5" t="s">
        <v>34</v>
      </c>
      <c r="C37" s="6" t="s">
        <v>35</v>
      </c>
      <c r="D37" s="5" t="s">
        <v>34</v>
      </c>
      <c r="E37" s="6" t="s">
        <v>35</v>
      </c>
      <c r="F37" s="21"/>
      <c r="G37" s="22">
        <f>-863.58*2</f>
        <v>-1727.16</v>
      </c>
      <c r="H37" s="22">
        <f>753.06*2</f>
        <v>1506.12</v>
      </c>
      <c r="I37" s="22">
        <f>43.16*2</f>
        <v>86.32</v>
      </c>
      <c r="J37" s="22">
        <f>-631.13*2</f>
        <v>-1262.26</v>
      </c>
      <c r="K37" s="22">
        <f>2525.9*2</f>
        <v>5051.8</v>
      </c>
      <c r="L37" s="22">
        <f>-592.88*2</f>
        <v>-1185.76</v>
      </c>
      <c r="M37" s="22">
        <f>430.89*2</f>
        <v>861.78</v>
      </c>
      <c r="N37" s="22">
        <f t="shared" si="1"/>
        <v>-5229.2999999999993</v>
      </c>
      <c r="O37" s="22">
        <f>2457.05*2</f>
        <v>4914.1000000000004</v>
      </c>
      <c r="P37" s="22">
        <f t="shared" si="2"/>
        <v>-49.599999999999994</v>
      </c>
      <c r="Q37" s="22">
        <f t="shared" si="3"/>
        <v>2966.0400000000004</v>
      </c>
      <c r="S37" s="23">
        <f>-493.39*2</f>
        <v>-986.78</v>
      </c>
      <c r="T37" s="23">
        <f>(74.1-852.08)*2</f>
        <v>-1555.96</v>
      </c>
      <c r="U37" s="23">
        <f>-1343.28*2</f>
        <v>-2686.56</v>
      </c>
      <c r="V37" s="23">
        <f>-67.89*2</f>
        <v>-135.78</v>
      </c>
      <c r="W37" s="23">
        <f>43.09*2</f>
        <v>86.18</v>
      </c>
      <c r="Y37" s="23">
        <v>0</v>
      </c>
      <c r="Z37" s="23">
        <v>593.95189588000005</v>
      </c>
      <c r="AA37" s="23">
        <v>-1681.67812651555</v>
      </c>
      <c r="AB37" s="23">
        <v>-2650.32413324463</v>
      </c>
    </row>
    <row r="38" spans="2:30" x14ac:dyDescent="0.2">
      <c r="B38" s="7" t="s">
        <v>36</v>
      </c>
      <c r="C38" s="8"/>
      <c r="D38" s="7"/>
      <c r="E38" s="8"/>
      <c r="F38" s="26"/>
      <c r="G38" s="27">
        <f>SUM(G22:G37)</f>
        <v>38818.400000000001</v>
      </c>
      <c r="H38" s="27">
        <f>111345.82*2</f>
        <v>222691.64</v>
      </c>
      <c r="I38" s="27">
        <f t="shared" ref="I38:Q38" si="4">SUM(I22:I37)</f>
        <v>-25344.12</v>
      </c>
      <c r="J38" s="27">
        <f t="shared" si="4"/>
        <v>-419710.22000000003</v>
      </c>
      <c r="K38" s="27">
        <f t="shared" si="4"/>
        <v>2349219.7599999998</v>
      </c>
      <c r="L38" s="27">
        <f t="shared" si="4"/>
        <v>-385301.07999999996</v>
      </c>
      <c r="M38" s="27">
        <f t="shared" si="4"/>
        <v>327706.96000000008</v>
      </c>
      <c r="N38" s="27">
        <f t="shared" si="4"/>
        <v>-868968.97999999986</v>
      </c>
      <c r="O38" s="27">
        <f t="shared" si="4"/>
        <v>196020.10000000003</v>
      </c>
      <c r="P38" s="27">
        <f t="shared" si="4"/>
        <v>-8632.9399999999987</v>
      </c>
      <c r="Q38" s="27">
        <f t="shared" si="4"/>
        <v>1426499.52</v>
      </c>
      <c r="S38" s="27">
        <f>SUM(S22:S37)</f>
        <v>-73674.52</v>
      </c>
      <c r="T38" s="27">
        <f>SUM(T22:T37)</f>
        <v>-476506.68000000005</v>
      </c>
      <c r="U38" s="27">
        <v>-159337.69</v>
      </c>
      <c r="V38" s="27">
        <f>SUM(V22:V37)</f>
        <v>-41403.64</v>
      </c>
      <c r="W38" s="27">
        <f>SUM(W22:W37)</f>
        <v>32770.700000000004</v>
      </c>
      <c r="Y38" s="27">
        <f>SUM(Y22:Y37)</f>
        <v>-247289.12000000011</v>
      </c>
      <c r="Z38" s="27">
        <f>SUM(Z22:Z37)</f>
        <v>-16355.434800969993</v>
      </c>
      <c r="AA38" s="27">
        <f>SUM(AA22:AA37)</f>
        <v>-40907.812781271983</v>
      </c>
      <c r="AB38" s="27">
        <f>SUM(AB22:AB37)</f>
        <v>-798607.72600000061</v>
      </c>
      <c r="AC38" s="35"/>
      <c r="AD38" s="34"/>
    </row>
    <row r="39" spans="2:30" x14ac:dyDescent="0.2">
      <c r="H39" s="34"/>
      <c r="I39" s="34"/>
      <c r="J39" s="34"/>
      <c r="K39" s="34"/>
      <c r="Q39" s="34"/>
      <c r="Y39" s="34"/>
      <c r="AD39" s="34"/>
    </row>
    <row r="40" spans="2:30" ht="25.5" x14ac:dyDescent="0.2">
      <c r="B40" s="28" t="s">
        <v>112</v>
      </c>
      <c r="C40" s="2" t="s">
        <v>1</v>
      </c>
      <c r="D40" s="2" t="s">
        <v>2</v>
      </c>
      <c r="E40" s="2" t="s">
        <v>3</v>
      </c>
      <c r="F40" s="2" t="s">
        <v>88</v>
      </c>
      <c r="G40" s="2" t="s">
        <v>89</v>
      </c>
      <c r="H40" s="2" t="s">
        <v>44</v>
      </c>
      <c r="I40" s="2" t="s">
        <v>45</v>
      </c>
      <c r="J40" s="2" t="s">
        <v>46</v>
      </c>
      <c r="K40" s="2" t="s">
        <v>47</v>
      </c>
      <c r="L40" s="2" t="s">
        <v>90</v>
      </c>
      <c r="M40" s="2" t="s">
        <v>91</v>
      </c>
      <c r="N40" s="2" t="s">
        <v>92</v>
      </c>
      <c r="O40" s="2" t="s">
        <v>93</v>
      </c>
      <c r="P40" s="2" t="s">
        <v>94</v>
      </c>
      <c r="Q40" s="2" t="s">
        <v>95</v>
      </c>
      <c r="S40" s="2" t="s">
        <v>96</v>
      </c>
      <c r="T40" s="2" t="s">
        <v>97</v>
      </c>
      <c r="U40" s="2" t="s">
        <v>98</v>
      </c>
      <c r="V40" s="2" t="s">
        <v>99</v>
      </c>
      <c r="W40" s="2" t="s">
        <v>100</v>
      </c>
      <c r="Y40" s="2" t="s">
        <v>101</v>
      </c>
      <c r="Z40" s="2" t="s">
        <v>102</v>
      </c>
      <c r="AA40" s="2" t="s">
        <v>103</v>
      </c>
      <c r="AB40" s="2" t="s">
        <v>104</v>
      </c>
      <c r="AD40" s="34"/>
    </row>
    <row r="41" spans="2:30" x14ac:dyDescent="0.2">
      <c r="B41" s="3" t="s">
        <v>4</v>
      </c>
      <c r="C41" s="4" t="s">
        <v>5</v>
      </c>
      <c r="D41" s="3" t="s">
        <v>4</v>
      </c>
      <c r="E41" s="4" t="s">
        <v>5</v>
      </c>
      <c r="F41" s="25"/>
      <c r="G41" s="23">
        <f t="shared" ref="G41:P41" si="5">G3+G22</f>
        <v>666526.64699445618</v>
      </c>
      <c r="H41" s="23">
        <f t="shared" si="5"/>
        <v>67499.433939157592</v>
      </c>
      <c r="I41" s="23">
        <f t="shared" si="5"/>
        <v>-9357.5130578400003</v>
      </c>
      <c r="J41" s="23">
        <f t="shared" si="5"/>
        <v>879497.69868493557</v>
      </c>
      <c r="K41" s="23">
        <f t="shared" si="5"/>
        <v>652029.46495731804</v>
      </c>
      <c r="L41" s="23">
        <f t="shared" si="5"/>
        <v>77583.855819899996</v>
      </c>
      <c r="M41" s="23">
        <f t="shared" si="5"/>
        <v>92679.998195815017</v>
      </c>
      <c r="N41" s="23">
        <f t="shared" si="5"/>
        <v>132112.78530055436</v>
      </c>
      <c r="O41" s="23">
        <f t="shared" si="5"/>
        <v>72745.294699445614</v>
      </c>
      <c r="P41" s="23">
        <f t="shared" si="5"/>
        <v>16860.649999999998</v>
      </c>
      <c r="Q41" s="23">
        <f>SUM(G41:P41)</f>
        <v>2648178.3155337423</v>
      </c>
      <c r="S41" s="22">
        <f>S3+S22</f>
        <v>3852.21608813176</v>
      </c>
      <c r="T41" s="22">
        <f>T3+T22</f>
        <v>71482.281868493563</v>
      </c>
      <c r="U41" s="22">
        <f>U3+U22</f>
        <v>56778.282495731764</v>
      </c>
      <c r="V41" s="22">
        <f>V3+V22</f>
        <v>7592.6455819900011</v>
      </c>
      <c r="W41" s="22">
        <f>W3+W22</f>
        <v>9267.9998195815006</v>
      </c>
      <c r="Y41" s="22">
        <f>Y3+Y22</f>
        <v>0</v>
      </c>
      <c r="Z41" s="22">
        <f>Z3+Z22</f>
        <v>-14797.6</v>
      </c>
      <c r="AA41" s="22">
        <f>AA3+AA22</f>
        <v>-46677.65</v>
      </c>
      <c r="AB41" s="22">
        <f>AB3+AB22</f>
        <v>-109287.42000000001</v>
      </c>
      <c r="AD41" s="35"/>
    </row>
    <row r="42" spans="2:30" x14ac:dyDescent="0.2">
      <c r="B42" s="5" t="s">
        <v>6</v>
      </c>
      <c r="C42" s="6" t="s">
        <v>7</v>
      </c>
      <c r="D42" s="5" t="s">
        <v>6</v>
      </c>
      <c r="E42" s="6" t="s">
        <v>7</v>
      </c>
      <c r="F42" s="21"/>
      <c r="G42" s="22">
        <f t="shared" ref="G42:K56" si="6">G4+G23</f>
        <v>4492432.4613026902</v>
      </c>
      <c r="H42" s="22">
        <f t="shared" si="6"/>
        <v>656117.38506616582</v>
      </c>
      <c r="I42" s="22">
        <f t="shared" si="6"/>
        <v>-26755.460474060008</v>
      </c>
      <c r="J42" s="22">
        <f t="shared" si="6"/>
        <v>5754183.7514514159</v>
      </c>
      <c r="K42" s="22">
        <f t="shared" si="6"/>
        <v>3847359.8904019534</v>
      </c>
      <c r="L42" s="22">
        <f t="shared" ref="L42:N56" si="7">L4+L23</f>
        <v>528847.16082997492</v>
      </c>
      <c r="M42" s="22">
        <f t="shared" si="7"/>
        <v>422426.19854985946</v>
      </c>
      <c r="N42" s="22">
        <f t="shared" si="7"/>
        <v>763148.77586973098</v>
      </c>
      <c r="O42" s="22">
        <f t="shared" ref="O42:P56" si="8">O4+O23</f>
        <v>439808.97413026908</v>
      </c>
      <c r="P42" s="22">
        <f t="shared" si="8"/>
        <v>94379.08</v>
      </c>
      <c r="Q42" s="22">
        <f t="shared" ref="Q42:Q56" si="9">SUM(G42:P42)</f>
        <v>16971948.217127997</v>
      </c>
      <c r="S42" s="23">
        <f t="shared" ref="S42:U56" si="10">S4+S23</f>
        <v>38481.330459210585</v>
      </c>
      <c r="T42" s="23">
        <f t="shared" si="10"/>
        <v>465877.73114514159</v>
      </c>
      <c r="U42" s="23">
        <f t="shared" si="10"/>
        <v>258789.70904019536</v>
      </c>
      <c r="V42" s="23">
        <f t="shared" ref="V42:W56" si="11">V4+V23</f>
        <v>52136.444082997492</v>
      </c>
      <c r="W42" s="23">
        <f t="shared" si="11"/>
        <v>42242.63185498595</v>
      </c>
      <c r="Y42" s="23">
        <f t="shared" ref="Y42:Z56" si="12">Y4+Y23</f>
        <v>0</v>
      </c>
      <c r="Z42" s="23">
        <f t="shared" si="12"/>
        <v>-54085.94000000001</v>
      </c>
      <c r="AA42" s="23">
        <f>AA4+AA23</f>
        <v>-251082.23999999993</v>
      </c>
      <c r="AB42" s="23">
        <f t="shared" ref="AB42:AB56" si="13">AB4+AB23</f>
        <v>-420279.30000000022</v>
      </c>
    </row>
    <row r="43" spans="2:30" x14ac:dyDescent="0.2">
      <c r="B43" s="3" t="s">
        <v>8</v>
      </c>
      <c r="C43" s="4" t="s">
        <v>9</v>
      </c>
      <c r="D43" s="3" t="s">
        <v>8</v>
      </c>
      <c r="E43" s="4" t="s">
        <v>9</v>
      </c>
      <c r="F43" s="25"/>
      <c r="G43" s="23">
        <f t="shared" si="6"/>
        <v>3099604.1847159802</v>
      </c>
      <c r="H43" s="23">
        <f t="shared" si="6"/>
        <v>83456.243522144607</v>
      </c>
      <c r="I43" s="23">
        <f t="shared" si="6"/>
        <v>-33783.206304719992</v>
      </c>
      <c r="J43" s="23">
        <f t="shared" si="6"/>
        <v>4204041.7244523382</v>
      </c>
      <c r="K43" s="23">
        <f t="shared" si="6"/>
        <v>2530102.6486004428</v>
      </c>
      <c r="L43" s="23">
        <f t="shared" si="7"/>
        <v>471143.02370108006</v>
      </c>
      <c r="M43" s="23">
        <f t="shared" si="7"/>
        <v>280711.36571552418</v>
      </c>
      <c r="N43" s="23">
        <f t="shared" si="7"/>
        <v>525721.46752840187</v>
      </c>
      <c r="O43" s="23">
        <f t="shared" si="8"/>
        <v>356366.62247159804</v>
      </c>
      <c r="P43" s="23">
        <f t="shared" si="8"/>
        <v>74593.210000000006</v>
      </c>
      <c r="Q43" s="23">
        <f t="shared" si="9"/>
        <v>11591957.28440279</v>
      </c>
      <c r="S43" s="22">
        <f t="shared" si="10"/>
        <v>321.58572174246092</v>
      </c>
      <c r="T43" s="22">
        <f t="shared" si="10"/>
        <v>353428.51644523389</v>
      </c>
      <c r="U43" s="22">
        <f t="shared" si="10"/>
        <v>171971.36486004427</v>
      </c>
      <c r="V43" s="22">
        <f t="shared" si="11"/>
        <v>46522.070370108006</v>
      </c>
      <c r="W43" s="22">
        <f t="shared" si="11"/>
        <v>28071.138571552416</v>
      </c>
      <c r="Y43" s="22">
        <f t="shared" si="12"/>
        <v>0</v>
      </c>
      <c r="Z43" s="22">
        <f t="shared" si="12"/>
        <v>-51151.08</v>
      </c>
      <c r="AA43" s="22">
        <f>AA5+AA24</f>
        <v>-198581.35000000003</v>
      </c>
      <c r="AB43" s="22">
        <f t="shared" si="13"/>
        <v>-305836.21000000031</v>
      </c>
    </row>
    <row r="44" spans="2:30" x14ac:dyDescent="0.2">
      <c r="B44" s="5" t="s">
        <v>10</v>
      </c>
      <c r="C44" s="6" t="s">
        <v>11</v>
      </c>
      <c r="D44" s="5" t="s">
        <v>10</v>
      </c>
      <c r="E44" s="6" t="s">
        <v>11</v>
      </c>
      <c r="F44" s="21"/>
      <c r="G44" s="22">
        <f t="shared" si="6"/>
        <v>1839231.6050712527</v>
      </c>
      <c r="H44" s="22">
        <f t="shared" si="6"/>
        <v>54344.87065880435</v>
      </c>
      <c r="I44" s="22">
        <f t="shared" si="6"/>
        <v>-22314.661985500003</v>
      </c>
      <c r="J44" s="22">
        <f t="shared" si="6"/>
        <v>2194371.5050434163</v>
      </c>
      <c r="K44" s="22">
        <f t="shared" si="6"/>
        <v>1607706.9351320709</v>
      </c>
      <c r="L44" s="22">
        <f t="shared" si="7"/>
        <v>227810.29679349999</v>
      </c>
      <c r="M44" s="22">
        <f t="shared" si="7"/>
        <v>177795.0458266077</v>
      </c>
      <c r="N44" s="22">
        <f t="shared" si="7"/>
        <v>292844.54149287473</v>
      </c>
      <c r="O44" s="22">
        <f t="shared" si="8"/>
        <v>216354.95850712527</v>
      </c>
      <c r="P44" s="22">
        <f t="shared" si="8"/>
        <v>40410.54</v>
      </c>
      <c r="Q44" s="22">
        <f t="shared" si="9"/>
        <v>6628555.6365401521</v>
      </c>
      <c r="S44" s="23">
        <f t="shared" si="10"/>
        <v>308.31086733043503</v>
      </c>
      <c r="T44" s="23">
        <f t="shared" si="10"/>
        <v>183614.17850434163</v>
      </c>
      <c r="U44" s="23">
        <f t="shared" si="10"/>
        <v>108922.0475132071</v>
      </c>
      <c r="V44" s="23">
        <f t="shared" si="11"/>
        <v>22631.041679350001</v>
      </c>
      <c r="W44" s="23">
        <f t="shared" si="11"/>
        <v>17779.50058266077</v>
      </c>
      <c r="Y44" s="23">
        <f t="shared" si="12"/>
        <v>0</v>
      </c>
      <c r="Z44" s="23">
        <f t="shared" si="12"/>
        <v>-33854</v>
      </c>
      <c r="AA44" s="23">
        <f>AA6+AA25</f>
        <v>-73725.39</v>
      </c>
      <c r="AB44" s="23">
        <f t="shared" si="13"/>
        <v>-188500.50999999995</v>
      </c>
    </row>
    <row r="45" spans="2:30" x14ac:dyDescent="0.2">
      <c r="B45" s="3" t="s">
        <v>12</v>
      </c>
      <c r="C45" s="4" t="s">
        <v>13</v>
      </c>
      <c r="D45" s="3" t="s">
        <v>12</v>
      </c>
      <c r="E45" s="4" t="s">
        <v>13</v>
      </c>
      <c r="F45" s="25"/>
      <c r="G45" s="23">
        <f t="shared" si="6"/>
        <v>5312362.5128142098</v>
      </c>
      <c r="H45" s="23">
        <f t="shared" si="6"/>
        <v>348709.45610853558</v>
      </c>
      <c r="I45" s="23">
        <f t="shared" si="6"/>
        <v>-27004.155425000012</v>
      </c>
      <c r="J45" s="23">
        <f t="shared" si="6"/>
        <v>6946242.2141194912</v>
      </c>
      <c r="K45" s="23">
        <f t="shared" si="6"/>
        <v>3935033.3849014156</v>
      </c>
      <c r="L45" s="23">
        <f t="shared" si="7"/>
        <v>819256.65192650014</v>
      </c>
      <c r="M45" s="23">
        <f t="shared" si="7"/>
        <v>431093.29591552913</v>
      </c>
      <c r="N45" s="23">
        <f t="shared" si="7"/>
        <v>880222.36071857903</v>
      </c>
      <c r="O45" s="23">
        <f t="shared" si="8"/>
        <v>553673.58928142104</v>
      </c>
      <c r="P45" s="23">
        <f t="shared" si="8"/>
        <v>123990.93999999999</v>
      </c>
      <c r="Q45" s="23">
        <f t="shared" si="9"/>
        <v>19323580.250360683</v>
      </c>
      <c r="S45" s="22">
        <f t="shared" si="10"/>
        <v>17087.256068353556</v>
      </c>
      <c r="T45" s="22">
        <f t="shared" si="10"/>
        <v>599035.7154119492</v>
      </c>
      <c r="U45" s="22">
        <f t="shared" si="10"/>
        <v>264099.39049014152</v>
      </c>
      <c r="V45" s="22">
        <f t="shared" si="11"/>
        <v>80881.611192650016</v>
      </c>
      <c r="W45" s="22">
        <f t="shared" si="11"/>
        <v>43109.327591552916</v>
      </c>
      <c r="Y45" s="22">
        <f t="shared" si="12"/>
        <v>0</v>
      </c>
      <c r="Z45" s="22">
        <f t="shared" si="12"/>
        <v>-45932.42</v>
      </c>
      <c r="AA45" s="22">
        <v>-331557.77</v>
      </c>
      <c r="AB45" s="22">
        <f t="shared" si="13"/>
        <v>-420166.77000000008</v>
      </c>
    </row>
    <row r="46" spans="2:30" x14ac:dyDescent="0.2">
      <c r="B46" s="5" t="s">
        <v>14</v>
      </c>
      <c r="C46" s="6" t="s">
        <v>15</v>
      </c>
      <c r="D46" s="5" t="s">
        <v>14</v>
      </c>
      <c r="E46" s="6" t="s">
        <v>15</v>
      </c>
      <c r="F46" s="21"/>
      <c r="G46" s="22">
        <f t="shared" si="6"/>
        <v>1292311.9379129224</v>
      </c>
      <c r="H46" s="22">
        <f t="shared" si="6"/>
        <v>461178.88602974534</v>
      </c>
      <c r="I46" s="22">
        <f t="shared" si="6"/>
        <v>-13386.051663080001</v>
      </c>
      <c r="J46" s="22">
        <f t="shared" si="6"/>
        <v>1200443.987536469</v>
      </c>
      <c r="K46" s="22">
        <f t="shared" si="6"/>
        <v>1652134.8309954912</v>
      </c>
      <c r="L46" s="22">
        <f t="shared" si="7"/>
        <v>115745.72058277001</v>
      </c>
      <c r="M46" s="22">
        <f t="shared" si="7"/>
        <v>180998.3552491481</v>
      </c>
      <c r="N46" s="22">
        <f t="shared" si="7"/>
        <v>237831.63420870778</v>
      </c>
      <c r="O46" s="22">
        <f t="shared" si="8"/>
        <v>177595.50579129223</v>
      </c>
      <c r="P46" s="22">
        <f t="shared" si="8"/>
        <v>29641.949999999997</v>
      </c>
      <c r="Q46" s="22">
        <f t="shared" si="9"/>
        <v>5334496.7566434676</v>
      </c>
      <c r="S46" s="23">
        <f t="shared" si="10"/>
        <v>30107.649436666536</v>
      </c>
      <c r="T46" s="23">
        <f t="shared" si="10"/>
        <v>96839.496753646905</v>
      </c>
      <c r="U46" s="23">
        <f t="shared" si="10"/>
        <v>110884.48309954912</v>
      </c>
      <c r="V46" s="23">
        <f t="shared" si="11"/>
        <v>11542.122058277002</v>
      </c>
      <c r="W46" s="23">
        <f t="shared" si="11"/>
        <v>18099.831524914811</v>
      </c>
      <c r="Y46" s="23">
        <f t="shared" si="12"/>
        <v>0</v>
      </c>
      <c r="Z46" s="23">
        <f t="shared" si="12"/>
        <v>-24134.600000000002</v>
      </c>
      <c r="AA46" s="23">
        <v>-31081.13</v>
      </c>
      <c r="AB46" s="23">
        <f t="shared" si="13"/>
        <v>-176434.74</v>
      </c>
    </row>
    <row r="47" spans="2:30" x14ac:dyDescent="0.2">
      <c r="B47" s="3" t="s">
        <v>16</v>
      </c>
      <c r="C47" s="4" t="s">
        <v>17</v>
      </c>
      <c r="D47" s="3" t="s">
        <v>18</v>
      </c>
      <c r="E47" s="4" t="s">
        <v>19</v>
      </c>
      <c r="F47" s="25"/>
      <c r="G47" s="23">
        <f t="shared" si="6"/>
        <v>585792.03844431601</v>
      </c>
      <c r="H47" s="23">
        <f t="shared" si="6"/>
        <v>1435174.8610977733</v>
      </c>
      <c r="I47" s="23">
        <f t="shared" si="6"/>
        <v>121534.3249571599</v>
      </c>
      <c r="J47" s="23">
        <f t="shared" si="6"/>
        <v>669993.91495859227</v>
      </c>
      <c r="K47" s="23">
        <f t="shared" si="6"/>
        <v>266457.4479554494</v>
      </c>
      <c r="L47" s="23">
        <f t="shared" si="7"/>
        <v>47947.801775954998</v>
      </c>
      <c r="M47" s="23">
        <f t="shared" si="7"/>
        <v>118.98</v>
      </c>
      <c r="N47" s="23">
        <f t="shared" si="7"/>
        <v>218180.18415556842</v>
      </c>
      <c r="O47" s="23">
        <f t="shared" si="8"/>
        <v>71861.875844431604</v>
      </c>
      <c r="P47" s="23">
        <f t="shared" si="8"/>
        <v>4806.68</v>
      </c>
      <c r="Q47" s="23">
        <f t="shared" si="9"/>
        <v>3421868.1091892463</v>
      </c>
      <c r="S47" s="22">
        <f t="shared" si="10"/>
        <v>147168.91660549334</v>
      </c>
      <c r="T47" s="22">
        <f t="shared" si="10"/>
        <v>50162.711495859228</v>
      </c>
      <c r="U47" s="22">
        <f t="shared" si="10"/>
        <v>20848.550795544939</v>
      </c>
      <c r="V47" s="22">
        <f t="shared" si="11"/>
        <v>4794.7801775954995</v>
      </c>
      <c r="W47" s="22">
        <f t="shared" si="11"/>
        <v>11.9</v>
      </c>
      <c r="Y47" s="22">
        <f t="shared" si="12"/>
        <v>-135120.90000000002</v>
      </c>
      <c r="Z47" s="22">
        <f t="shared" si="12"/>
        <v>-10368.220000000001</v>
      </c>
      <c r="AA47" s="22">
        <v>-14811.74</v>
      </c>
      <c r="AB47" s="22">
        <f t="shared" si="13"/>
        <v>-166.68</v>
      </c>
    </row>
    <row r="48" spans="2:30" x14ac:dyDescent="0.2">
      <c r="B48" s="5" t="s">
        <v>16</v>
      </c>
      <c r="C48" s="6" t="s">
        <v>17</v>
      </c>
      <c r="D48" s="5" t="s">
        <v>20</v>
      </c>
      <c r="E48" s="6" t="s">
        <v>15</v>
      </c>
      <c r="F48" s="21"/>
      <c r="G48" s="22">
        <f t="shared" si="6"/>
        <v>32689.489407403158</v>
      </c>
      <c r="H48" s="22">
        <f t="shared" si="6"/>
        <v>78569.695001104148</v>
      </c>
      <c r="I48" s="22">
        <f t="shared" si="6"/>
        <v>7199.1601843486105</v>
      </c>
      <c r="J48" s="22">
        <f t="shared" si="6"/>
        <v>38534.959861715302</v>
      </c>
      <c r="K48" s="22">
        <f t="shared" si="6"/>
        <v>14655.219702137467</v>
      </c>
      <c r="L48" s="22">
        <f t="shared" si="7"/>
        <v>2803.6777999999999</v>
      </c>
      <c r="M48" s="22">
        <f t="shared" si="7"/>
        <v>0</v>
      </c>
      <c r="N48" s="22">
        <f t="shared" si="7"/>
        <v>12736.559059259685</v>
      </c>
      <c r="O48" s="22">
        <f t="shared" si="8"/>
        <v>8672.6509407403155</v>
      </c>
      <c r="P48" s="22">
        <f t="shared" si="8"/>
        <v>280.36</v>
      </c>
      <c r="Q48" s="22">
        <f t="shared" si="9"/>
        <v>196141.77195670866</v>
      </c>
      <c r="S48" s="23">
        <f t="shared" si="10"/>
        <v>8643.2955185452774</v>
      </c>
      <c r="T48" s="23">
        <f t="shared" si="10"/>
        <v>2945.36798617153</v>
      </c>
      <c r="U48" s="23">
        <f t="shared" si="10"/>
        <v>1147.8939702137468</v>
      </c>
      <c r="V48" s="23">
        <f t="shared" si="11"/>
        <v>280.35978</v>
      </c>
      <c r="W48" s="23">
        <f t="shared" si="11"/>
        <v>0</v>
      </c>
      <c r="Y48" s="23">
        <f t="shared" si="12"/>
        <v>-12263.519999999999</v>
      </c>
      <c r="Z48" s="23">
        <f t="shared" si="12"/>
        <v>-496.66</v>
      </c>
      <c r="AA48" s="23">
        <v>-788.39</v>
      </c>
      <c r="AB48" s="23">
        <f t="shared" si="13"/>
        <v>0</v>
      </c>
    </row>
    <row r="49" spans="2:30" x14ac:dyDescent="0.2">
      <c r="B49" s="3" t="s">
        <v>16</v>
      </c>
      <c r="C49" s="4" t="s">
        <v>17</v>
      </c>
      <c r="D49" s="3" t="s">
        <v>21</v>
      </c>
      <c r="E49" s="4" t="s">
        <v>22</v>
      </c>
      <c r="F49" s="25"/>
      <c r="G49" s="23">
        <f t="shared" si="6"/>
        <v>569754.62789482495</v>
      </c>
      <c r="H49" s="23">
        <f t="shared" si="6"/>
        <v>1401788.9357228368</v>
      </c>
      <c r="I49" s="23">
        <f t="shared" si="6"/>
        <v>123740.25403667835</v>
      </c>
      <c r="J49" s="23">
        <f t="shared" si="6"/>
        <v>682973.75310241443</v>
      </c>
      <c r="K49" s="23">
        <f t="shared" si="6"/>
        <v>262920.1487486026</v>
      </c>
      <c r="L49" s="23">
        <f t="shared" si="7"/>
        <v>48710.715939120004</v>
      </c>
      <c r="M49" s="23">
        <f t="shared" si="7"/>
        <v>332.2</v>
      </c>
      <c r="N49" s="23">
        <f t="shared" si="7"/>
        <v>231229.92321051747</v>
      </c>
      <c r="O49" s="23">
        <f t="shared" si="8"/>
        <v>58649.3767894825</v>
      </c>
      <c r="P49" s="23">
        <f t="shared" si="8"/>
        <v>4904.2800000000007</v>
      </c>
      <c r="Q49" s="23">
        <f t="shared" si="9"/>
        <v>3385004.2154444768</v>
      </c>
      <c r="S49" s="22">
        <f t="shared" si="10"/>
        <v>158476.2829759515</v>
      </c>
      <c r="T49" s="22">
        <f t="shared" si="10"/>
        <v>52214.095310241442</v>
      </c>
      <c r="U49" s="22">
        <f t="shared" si="10"/>
        <v>20539.544874860261</v>
      </c>
      <c r="V49" s="22">
        <f t="shared" si="11"/>
        <v>4871.0635939120011</v>
      </c>
      <c r="W49" s="22">
        <f t="shared" si="11"/>
        <v>33.22</v>
      </c>
      <c r="Y49" s="22">
        <f t="shared" si="12"/>
        <v>-224627.94000000006</v>
      </c>
      <c r="Z49" s="22">
        <f t="shared" si="12"/>
        <v>-9587.9800000000014</v>
      </c>
      <c r="AA49" s="22">
        <v>-14052.03</v>
      </c>
      <c r="AB49" s="22">
        <f t="shared" si="13"/>
        <v>-400.83</v>
      </c>
    </row>
    <row r="50" spans="2:30" x14ac:dyDescent="0.2">
      <c r="B50" s="5" t="s">
        <v>16</v>
      </c>
      <c r="C50" s="6" t="s">
        <v>17</v>
      </c>
      <c r="D50" s="5" t="s">
        <v>23</v>
      </c>
      <c r="E50" s="6" t="s">
        <v>24</v>
      </c>
      <c r="F50" s="21"/>
      <c r="G50" s="22">
        <f t="shared" si="6"/>
        <v>142812.87944781096</v>
      </c>
      <c r="H50" s="22">
        <f t="shared" si="6"/>
        <v>394008.19831422222</v>
      </c>
      <c r="I50" s="22">
        <f t="shared" si="6"/>
        <v>29600.784759647333</v>
      </c>
      <c r="J50" s="22">
        <f t="shared" si="6"/>
        <v>176907.55048664371</v>
      </c>
      <c r="K50" s="22">
        <f t="shared" si="6"/>
        <v>146014.47016717936</v>
      </c>
      <c r="L50" s="22">
        <f t="shared" si="7"/>
        <v>12602.998814240002</v>
      </c>
      <c r="M50" s="22">
        <f t="shared" si="7"/>
        <v>9765.44</v>
      </c>
      <c r="N50" s="22">
        <f t="shared" si="7"/>
        <v>60069.758055218903</v>
      </c>
      <c r="O50" s="22">
        <f t="shared" si="8"/>
        <v>19202.811944781097</v>
      </c>
      <c r="P50" s="22">
        <f t="shared" si="8"/>
        <v>2236.84</v>
      </c>
      <c r="Q50" s="22">
        <f t="shared" si="9"/>
        <v>993221.73198974354</v>
      </c>
      <c r="S50" s="23">
        <f t="shared" si="10"/>
        <v>36953.064307386958</v>
      </c>
      <c r="T50" s="23">
        <f t="shared" si="10"/>
        <v>13222.767048664371</v>
      </c>
      <c r="U50" s="23">
        <f t="shared" si="10"/>
        <v>9893.9310167179392</v>
      </c>
      <c r="V50" s="23">
        <f t="shared" si="11"/>
        <v>1260.2958814240005</v>
      </c>
      <c r="W50" s="23">
        <f t="shared" si="11"/>
        <v>976.54</v>
      </c>
      <c r="Y50" s="23">
        <f t="shared" si="12"/>
        <v>-8749.2999999999956</v>
      </c>
      <c r="Z50" s="23">
        <f t="shared" si="12"/>
        <v>-2420.98</v>
      </c>
      <c r="AA50" s="23">
        <v>-3760.74</v>
      </c>
      <c r="AB50" s="23">
        <f t="shared" si="13"/>
        <v>-11382.44</v>
      </c>
    </row>
    <row r="51" spans="2:30" x14ac:dyDescent="0.2">
      <c r="B51" s="3" t="s">
        <v>16</v>
      </c>
      <c r="C51" s="4" t="s">
        <v>17</v>
      </c>
      <c r="D51" s="3" t="s">
        <v>25</v>
      </c>
      <c r="E51" s="4" t="s">
        <v>26</v>
      </c>
      <c r="F51" s="25"/>
      <c r="G51" s="23">
        <f t="shared" si="6"/>
        <v>41730.67275321552</v>
      </c>
      <c r="H51" s="23">
        <f t="shared" si="6"/>
        <v>116559.79644544037</v>
      </c>
      <c r="I51" s="23">
        <f t="shared" si="6"/>
        <v>3395.4412711361647</v>
      </c>
      <c r="J51" s="23">
        <f t="shared" si="6"/>
        <v>48971.107484859524</v>
      </c>
      <c r="K51" s="23">
        <f t="shared" si="6"/>
        <v>19763.627176031136</v>
      </c>
      <c r="L51" s="23">
        <f t="shared" si="7"/>
        <v>3282.8022882750001</v>
      </c>
      <c r="M51" s="23">
        <f t="shared" si="7"/>
        <v>82.3</v>
      </c>
      <c r="N51" s="23">
        <f t="shared" si="7"/>
        <v>16298.916724678445</v>
      </c>
      <c r="O51" s="23">
        <f t="shared" si="8"/>
        <v>5661.0532753215521</v>
      </c>
      <c r="P51" s="23">
        <f t="shared" si="8"/>
        <v>336.51</v>
      </c>
      <c r="Q51" s="23">
        <f t="shared" si="9"/>
        <v>256082.22741895774</v>
      </c>
      <c r="S51" s="22">
        <f t="shared" si="10"/>
        <v>11471.961771657654</v>
      </c>
      <c r="T51" s="22">
        <f t="shared" si="10"/>
        <v>3292.8027484859522</v>
      </c>
      <c r="U51" s="22">
        <f t="shared" si="10"/>
        <v>1534.1487176031137</v>
      </c>
      <c r="V51" s="22">
        <f t="shared" si="11"/>
        <v>328.27222882750004</v>
      </c>
      <c r="W51" s="22">
        <f t="shared" si="11"/>
        <v>8.24</v>
      </c>
      <c r="Y51" s="22">
        <f t="shared" si="12"/>
        <v>-4527.46</v>
      </c>
      <c r="Z51" s="22">
        <f t="shared" si="12"/>
        <v>-794.62</v>
      </c>
      <c r="AA51" s="22">
        <v>-1045.8499999999999</v>
      </c>
      <c r="AB51" s="22">
        <f t="shared" si="13"/>
        <v>-103.09</v>
      </c>
    </row>
    <row r="52" spans="2:30" x14ac:dyDescent="0.2">
      <c r="B52" s="5" t="s">
        <v>27</v>
      </c>
      <c r="C52" s="6" t="s">
        <v>24</v>
      </c>
      <c r="D52" s="5" t="s">
        <v>27</v>
      </c>
      <c r="E52" s="6" t="s">
        <v>24</v>
      </c>
      <c r="F52" s="21"/>
      <c r="G52" s="22">
        <f t="shared" si="6"/>
        <v>341413.49481628579</v>
      </c>
      <c r="H52" s="22">
        <f t="shared" si="6"/>
        <v>68406.043433143685</v>
      </c>
      <c r="I52" s="22">
        <f t="shared" si="6"/>
        <v>38252.473672104352</v>
      </c>
      <c r="J52" s="22">
        <f t="shared" si="6"/>
        <v>405897.11354332103</v>
      </c>
      <c r="K52" s="22">
        <f t="shared" si="6"/>
        <v>376770.42078273161</v>
      </c>
      <c r="L52" s="22">
        <f t="shared" si="7"/>
        <v>30446.448492799998</v>
      </c>
      <c r="M52" s="22">
        <f t="shared" si="7"/>
        <v>41288.441565079811</v>
      </c>
      <c r="N52" s="22">
        <f t="shared" si="7"/>
        <v>64935.018518371413</v>
      </c>
      <c r="O52" s="22">
        <f t="shared" si="8"/>
        <v>34434.591481628588</v>
      </c>
      <c r="P52" s="22">
        <f t="shared" si="8"/>
        <v>7155.6299999999992</v>
      </c>
      <c r="Q52" s="22">
        <f t="shared" si="9"/>
        <v>1408999.6763054663</v>
      </c>
      <c r="S52" s="23">
        <f t="shared" si="10"/>
        <v>8388.0517105248018</v>
      </c>
      <c r="T52" s="23">
        <f t="shared" si="10"/>
        <v>31252.559354332105</v>
      </c>
      <c r="U52" s="23">
        <f t="shared" si="10"/>
        <v>25294.406078273165</v>
      </c>
      <c r="V52" s="23">
        <f t="shared" si="11"/>
        <v>3026.7948492800001</v>
      </c>
      <c r="W52" s="23">
        <f t="shared" si="11"/>
        <v>4128.8361565079813</v>
      </c>
      <c r="Y52" s="23">
        <f t="shared" si="12"/>
        <v>0</v>
      </c>
      <c r="Z52" s="23">
        <f t="shared" si="12"/>
        <v>-7960.4599999999991</v>
      </c>
      <c r="AA52" s="23">
        <v>-12307.77</v>
      </c>
      <c r="AB52" s="23">
        <f t="shared" si="13"/>
        <v>-40353.710000000014</v>
      </c>
    </row>
    <row r="53" spans="2:30" x14ac:dyDescent="0.2">
      <c r="B53" s="3" t="s">
        <v>28</v>
      </c>
      <c r="C53" s="4" t="s">
        <v>26</v>
      </c>
      <c r="D53" s="3" t="s">
        <v>28</v>
      </c>
      <c r="E53" s="4" t="s">
        <v>26</v>
      </c>
      <c r="F53" s="25"/>
      <c r="G53" s="23">
        <f t="shared" si="6"/>
        <v>559460.95650813787</v>
      </c>
      <c r="H53" s="23">
        <f t="shared" si="6"/>
        <v>58614.435864380735</v>
      </c>
      <c r="I53" s="23">
        <f t="shared" si="6"/>
        <v>173444.75394190743</v>
      </c>
      <c r="J53" s="23">
        <f t="shared" si="6"/>
        <v>682119.1411094967</v>
      </c>
      <c r="K53" s="23">
        <f t="shared" si="6"/>
        <v>391493.52740382397</v>
      </c>
      <c r="L53" s="23">
        <f t="shared" si="7"/>
        <v>61790.484286729989</v>
      </c>
      <c r="M53" s="23">
        <f t="shared" si="7"/>
        <v>42635.225483224691</v>
      </c>
      <c r="N53" s="23">
        <f t="shared" si="7"/>
        <v>103263.49634918621</v>
      </c>
      <c r="O53" s="23">
        <f t="shared" si="8"/>
        <v>58648.683650813786</v>
      </c>
      <c r="P53" s="23">
        <f t="shared" si="8"/>
        <v>10411.61</v>
      </c>
      <c r="Q53" s="23">
        <f t="shared" si="9"/>
        <v>2141882.3145977012</v>
      </c>
      <c r="S53" s="22">
        <f t="shared" si="10"/>
        <v>20926.63698062882</v>
      </c>
      <c r="T53" s="22">
        <f t="shared" si="10"/>
        <v>56217.374110949677</v>
      </c>
      <c r="U53" s="22">
        <f t="shared" si="10"/>
        <v>26119.4887403824</v>
      </c>
      <c r="V53" s="22">
        <f t="shared" si="11"/>
        <v>6148.0844286729998</v>
      </c>
      <c r="W53" s="22">
        <f t="shared" si="11"/>
        <v>4263.5245483224699</v>
      </c>
      <c r="Y53" s="22">
        <f t="shared" si="12"/>
        <v>0</v>
      </c>
      <c r="Z53" s="22">
        <f t="shared" si="12"/>
        <v>-4818.0600000000004</v>
      </c>
      <c r="AA53" s="22">
        <v>-21495.52</v>
      </c>
      <c r="AB53" s="22">
        <f t="shared" si="13"/>
        <v>-39236.73000000004</v>
      </c>
    </row>
    <row r="54" spans="2:30" x14ac:dyDescent="0.2">
      <c r="B54" s="5" t="s">
        <v>29</v>
      </c>
      <c r="C54" s="6" t="s">
        <v>30</v>
      </c>
      <c r="D54" s="5" t="s">
        <v>29</v>
      </c>
      <c r="E54" s="6" t="s">
        <v>30</v>
      </c>
      <c r="F54" s="21"/>
      <c r="G54" s="22">
        <f t="shared" si="6"/>
        <v>482641.94508113415</v>
      </c>
      <c r="H54" s="22">
        <f t="shared" si="6"/>
        <v>130975.03129379572</v>
      </c>
      <c r="I54" s="22">
        <f t="shared" si="6"/>
        <v>97595.235672827272</v>
      </c>
      <c r="J54" s="22">
        <f t="shared" si="6"/>
        <v>472434.77900901705</v>
      </c>
      <c r="K54" s="22">
        <f t="shared" si="6"/>
        <v>538385.55280205794</v>
      </c>
      <c r="L54" s="22">
        <f t="shared" si="7"/>
        <v>25718.858719559998</v>
      </c>
      <c r="M54" s="22">
        <f t="shared" si="7"/>
        <v>58656.656283173565</v>
      </c>
      <c r="N54" s="22">
        <f t="shared" si="7"/>
        <v>86636.175491886592</v>
      </c>
      <c r="O54" s="22">
        <f t="shared" si="8"/>
        <v>54600.304508113419</v>
      </c>
      <c r="P54" s="22">
        <f t="shared" si="8"/>
        <v>8423.48</v>
      </c>
      <c r="Q54" s="22">
        <f t="shared" si="9"/>
        <v>1956068.0188615657</v>
      </c>
      <c r="S54" s="23">
        <f t="shared" si="10"/>
        <v>17871.386696662303</v>
      </c>
      <c r="T54" s="23">
        <f t="shared" si="10"/>
        <v>32830.139900901711</v>
      </c>
      <c r="U54" s="23">
        <f t="shared" si="10"/>
        <v>35934.645280205797</v>
      </c>
      <c r="V54" s="23">
        <f t="shared" si="11"/>
        <v>2557.8138719560002</v>
      </c>
      <c r="W54" s="23">
        <f t="shared" si="11"/>
        <v>5865.665628317357</v>
      </c>
      <c r="Y54" s="23">
        <f t="shared" si="12"/>
        <v>0</v>
      </c>
      <c r="Z54" s="23">
        <f t="shared" si="12"/>
        <v>-8109.92</v>
      </c>
      <c r="AA54" s="23">
        <v>-14706.2</v>
      </c>
      <c r="AB54" s="23">
        <f t="shared" si="13"/>
        <v>-54204.179999999971</v>
      </c>
    </row>
    <row r="55" spans="2:30" x14ac:dyDescent="0.2">
      <c r="B55" s="3" t="s">
        <v>31</v>
      </c>
      <c r="C55" s="4" t="s">
        <v>32</v>
      </c>
      <c r="D55" s="3" t="s">
        <v>31</v>
      </c>
      <c r="E55" s="4" t="s">
        <v>33</v>
      </c>
      <c r="F55" s="25"/>
      <c r="G55" s="23">
        <f t="shared" si="6"/>
        <v>520193.31944538612</v>
      </c>
      <c r="H55" s="23">
        <f t="shared" si="6"/>
        <v>246596.76495772277</v>
      </c>
      <c r="I55" s="23">
        <f t="shared" si="6"/>
        <v>61638.592610246662</v>
      </c>
      <c r="J55" s="23">
        <f t="shared" si="6"/>
        <v>539205.44759125973</v>
      </c>
      <c r="K55" s="23">
        <f t="shared" si="6"/>
        <v>656512.45760983753</v>
      </c>
      <c r="L55" s="23">
        <f t="shared" si="7"/>
        <v>38846.185522500004</v>
      </c>
      <c r="M55" s="23">
        <f t="shared" si="7"/>
        <v>71753.463175091354</v>
      </c>
      <c r="N55" s="23">
        <f t="shared" si="7"/>
        <v>108277.1120554614</v>
      </c>
      <c r="O55" s="23">
        <f t="shared" si="8"/>
        <v>56671.027944538611</v>
      </c>
      <c r="P55" s="23">
        <f t="shared" si="8"/>
        <v>10999.28</v>
      </c>
      <c r="Q55" s="23">
        <f t="shared" si="9"/>
        <v>2310693.6509120441</v>
      </c>
      <c r="S55" s="22">
        <f t="shared" si="10"/>
        <v>20258.807756796945</v>
      </c>
      <c r="T55" s="22">
        <f t="shared" si="10"/>
        <v>44060.202759125983</v>
      </c>
      <c r="U55" s="22">
        <f t="shared" si="10"/>
        <v>43958.09976098375</v>
      </c>
      <c r="V55" s="22">
        <f t="shared" si="11"/>
        <v>3823.9405522500006</v>
      </c>
      <c r="W55" s="22">
        <f t="shared" si="11"/>
        <v>7175.3423175091357</v>
      </c>
      <c r="Y55" s="22">
        <f t="shared" si="12"/>
        <v>0</v>
      </c>
      <c r="Z55" s="22">
        <f t="shared" si="12"/>
        <v>-11826.42</v>
      </c>
      <c r="AA55" s="22">
        <v>-25117.93</v>
      </c>
      <c r="AB55" s="22">
        <f t="shared" si="13"/>
        <v>-68390.219999999958</v>
      </c>
    </row>
    <row r="56" spans="2:30" x14ac:dyDescent="0.2">
      <c r="B56" s="5" t="s">
        <v>34</v>
      </c>
      <c r="C56" s="6" t="s">
        <v>35</v>
      </c>
      <c r="D56" s="5" t="s">
        <v>34</v>
      </c>
      <c r="E56" s="6" t="s">
        <v>35</v>
      </c>
      <c r="F56" s="21"/>
      <c r="G56" s="22">
        <f t="shared" si="6"/>
        <v>69976.418553019714</v>
      </c>
      <c r="H56" s="22">
        <f t="shared" si="6"/>
        <v>28934.122437280013</v>
      </c>
      <c r="I56" s="22">
        <f t="shared" si="6"/>
        <v>-1118.9081278800002</v>
      </c>
      <c r="J56" s="22">
        <f t="shared" si="6"/>
        <v>82094.221893375958</v>
      </c>
      <c r="K56" s="22">
        <f t="shared" si="6"/>
        <v>95428.313599445959</v>
      </c>
      <c r="L56" s="22">
        <f t="shared" si="7"/>
        <v>6594.6678308749997</v>
      </c>
      <c r="M56" s="22">
        <f t="shared" si="7"/>
        <v>10366.994040946995</v>
      </c>
      <c r="N56" s="22">
        <f t="shared" si="7"/>
        <v>14766.282144698027</v>
      </c>
      <c r="O56" s="22">
        <f t="shared" si="8"/>
        <v>12084.457855301973</v>
      </c>
      <c r="P56" s="22">
        <f t="shared" si="8"/>
        <v>1678.96</v>
      </c>
      <c r="Q56" s="22">
        <f t="shared" si="9"/>
        <v>320805.53022706369</v>
      </c>
      <c r="S56" s="23">
        <f t="shared" si="10"/>
        <v>1635.4974309400015</v>
      </c>
      <c r="T56" s="23">
        <f t="shared" si="10"/>
        <v>6779.6881893375948</v>
      </c>
      <c r="U56" s="23">
        <f t="shared" si="10"/>
        <v>6351.0913599445958</v>
      </c>
      <c r="V56" s="23">
        <f t="shared" si="11"/>
        <v>642.26278308750011</v>
      </c>
      <c r="W56" s="23">
        <f t="shared" si="11"/>
        <v>1036.7014040946995</v>
      </c>
      <c r="Y56" s="23">
        <f t="shared" si="12"/>
        <v>0</v>
      </c>
      <c r="Z56" s="23">
        <f t="shared" si="12"/>
        <v>-1614.2400000000002</v>
      </c>
      <c r="AA56" s="23">
        <f>-5162.26</f>
        <v>-5162.26</v>
      </c>
      <c r="AB56" s="23">
        <f t="shared" si="13"/>
        <v>-9306.1600000000053</v>
      </c>
    </row>
    <row r="57" spans="2:30" x14ac:dyDescent="0.2">
      <c r="B57" s="7" t="s">
        <v>36</v>
      </c>
      <c r="C57" s="8"/>
      <c r="D57" s="7"/>
      <c r="E57" s="8"/>
      <c r="F57" s="26"/>
      <c r="G57" s="27">
        <f t="shared" ref="G57:Q57" si="14">SUM(G41:G56)</f>
        <v>20048935.191163041</v>
      </c>
      <c r="H57" s="27">
        <f t="shared" si="14"/>
        <v>5630934.1598922526</v>
      </c>
      <c r="I57" s="27">
        <f t="shared" si="14"/>
        <v>522681.06406797608</v>
      </c>
      <c r="J57" s="27">
        <f t="shared" si="14"/>
        <v>24977912.870328758</v>
      </c>
      <c r="K57" s="27">
        <f t="shared" si="14"/>
        <v>16992768.340935986</v>
      </c>
      <c r="L57" s="27">
        <f t="shared" si="14"/>
        <v>2519131.3511237809</v>
      </c>
      <c r="M57" s="27">
        <f t="shared" si="14"/>
        <v>1820703.96</v>
      </c>
      <c r="N57" s="27">
        <f t="shared" si="14"/>
        <v>3748274.9908836954</v>
      </c>
      <c r="O57" s="27">
        <f t="shared" si="14"/>
        <v>2197031.7791163046</v>
      </c>
      <c r="P57" s="27">
        <f t="shared" si="14"/>
        <v>431110.00000000006</v>
      </c>
      <c r="Q57" s="27">
        <f t="shared" si="14"/>
        <v>78889483.707511812</v>
      </c>
      <c r="S57" s="27">
        <f>SUM(S41:S56)</f>
        <v>521952.25039602292</v>
      </c>
      <c r="T57" s="27">
        <f>SUM(T41:T56)</f>
        <v>2063255.6290328763</v>
      </c>
      <c r="U57" s="27">
        <f>SUM(U41:U56)</f>
        <v>1163067.0780935988</v>
      </c>
      <c r="V57" s="27">
        <f>SUM(V41:V56)</f>
        <v>249039.60311237801</v>
      </c>
      <c r="W57" s="27">
        <f>SUM(W41:W56)</f>
        <v>182070.39999999999</v>
      </c>
      <c r="Y57" s="27">
        <f>SUM(Y41:Y56)</f>
        <v>-385289.12000000011</v>
      </c>
      <c r="Z57" s="27">
        <f>SUM(Z41:Z56)</f>
        <v>-281953.19999999995</v>
      </c>
      <c r="AA57" s="27">
        <f>SUM(AA41:AA56)</f>
        <v>-1045953.9600000001</v>
      </c>
      <c r="AB57" s="27">
        <f>SUM(AB41:AB56)</f>
        <v>-1844048.9900000002</v>
      </c>
      <c r="AD57" s="34"/>
    </row>
    <row r="58" spans="2:30" x14ac:dyDescent="0.2">
      <c r="H58" s="34"/>
      <c r="I58" s="34"/>
      <c r="J58" s="34"/>
      <c r="K58" s="34"/>
      <c r="Q58" s="34"/>
      <c r="Y58" s="34"/>
    </row>
    <row r="59" spans="2:30" ht="25.5" x14ac:dyDescent="0.2">
      <c r="B59" s="29">
        <v>2022</v>
      </c>
      <c r="C59" s="2" t="s">
        <v>1</v>
      </c>
      <c r="D59" s="2" t="s">
        <v>2</v>
      </c>
      <c r="E59" s="2" t="s">
        <v>3</v>
      </c>
      <c r="F59" s="2" t="s">
        <v>88</v>
      </c>
      <c r="G59" s="2" t="s">
        <v>89</v>
      </c>
      <c r="H59" s="2" t="s">
        <v>44</v>
      </c>
      <c r="I59" s="2" t="s">
        <v>45</v>
      </c>
      <c r="J59" s="2" t="s">
        <v>46</v>
      </c>
      <c r="K59" s="2" t="s">
        <v>47</v>
      </c>
      <c r="L59" s="2" t="s">
        <v>90</v>
      </c>
      <c r="M59" s="2" t="s">
        <v>91</v>
      </c>
      <c r="N59" s="2" t="s">
        <v>92</v>
      </c>
      <c r="O59" s="2" t="s">
        <v>93</v>
      </c>
      <c r="P59" s="2" t="s">
        <v>94</v>
      </c>
      <c r="Q59" s="2" t="s">
        <v>95</v>
      </c>
      <c r="S59" s="2" t="s">
        <v>96</v>
      </c>
      <c r="T59" s="2" t="s">
        <v>97</v>
      </c>
      <c r="U59" s="2" t="s">
        <v>98</v>
      </c>
      <c r="V59" s="2" t="s">
        <v>99</v>
      </c>
      <c r="W59" s="2" t="s">
        <v>100</v>
      </c>
      <c r="Y59" s="2" t="s">
        <v>101</v>
      </c>
      <c r="Z59" s="2" t="s">
        <v>102</v>
      </c>
      <c r="AA59" s="2" t="s">
        <v>103</v>
      </c>
      <c r="AB59" s="2" t="s">
        <v>104</v>
      </c>
    </row>
    <row r="60" spans="2:30" x14ac:dyDescent="0.2">
      <c r="B60" s="3" t="s">
        <v>4</v>
      </c>
      <c r="C60" s="4" t="s">
        <v>5</v>
      </c>
      <c r="D60" s="3" t="s">
        <v>4</v>
      </c>
      <c r="E60" s="4" t="s">
        <v>5</v>
      </c>
      <c r="F60" s="25">
        <v>30446</v>
      </c>
      <c r="G60" s="23">
        <v>669729.70837580133</v>
      </c>
      <c r="H60" s="23">
        <v>49569.286294895923</v>
      </c>
      <c r="I60" s="23">
        <v>-12833.733415068971</v>
      </c>
      <c r="J60" s="23">
        <v>837416.32590019889</v>
      </c>
      <c r="K60" s="23">
        <v>694384.17284258292</v>
      </c>
      <c r="L60" s="23">
        <v>107624.53876032276</v>
      </c>
      <c r="M60" s="23">
        <v>124763.43833554073</v>
      </c>
      <c r="N60" s="23">
        <v>117000.56509436335</v>
      </c>
      <c r="O60" s="23">
        <v>81123.704797843369</v>
      </c>
      <c r="P60" s="23">
        <v>22200.789424775812</v>
      </c>
      <c r="Q60" s="23">
        <v>2690978.7964112558</v>
      </c>
      <c r="S60" s="22">
        <v>3606.7074574369008</v>
      </c>
      <c r="T60" s="22">
        <v>73082.532789701043</v>
      </c>
      <c r="U60" s="22">
        <v>40311.324847225427</v>
      </c>
      <c r="V60" s="22">
        <v>10505.773858769058</v>
      </c>
      <c r="W60" s="22">
        <v>11695.015566006756</v>
      </c>
      <c r="Y60" s="22">
        <v>0</v>
      </c>
      <c r="Z60" s="22">
        <v>-20546.83625605407</v>
      </c>
      <c r="AA60" s="22">
        <v>-111664.07883708313</v>
      </c>
      <c r="AB60" s="22">
        <v>-98532.045085973019</v>
      </c>
    </row>
    <row r="61" spans="2:30" x14ac:dyDescent="0.2">
      <c r="B61" s="5" t="s">
        <v>6</v>
      </c>
      <c r="C61" s="6" t="s">
        <v>7</v>
      </c>
      <c r="D61" s="5" t="s">
        <v>6</v>
      </c>
      <c r="E61" s="6" t="s">
        <v>7</v>
      </c>
      <c r="F61" s="21">
        <v>203801</v>
      </c>
      <c r="G61" s="22">
        <v>4483071.1520954035</v>
      </c>
      <c r="H61" s="22">
        <v>609513.22552069311</v>
      </c>
      <c r="I61" s="22">
        <v>-61373.608634389377</v>
      </c>
      <c r="J61" s="22">
        <v>5482295.5838224255</v>
      </c>
      <c r="K61" s="22">
        <v>3949961.6489882502</v>
      </c>
      <c r="L61" s="22">
        <v>731460.14321807818</v>
      </c>
      <c r="M61" s="22">
        <v>653673.04326050857</v>
      </c>
      <c r="N61" s="22">
        <v>757094.49454017845</v>
      </c>
      <c r="O61" s="22">
        <v>543030.02566856961</v>
      </c>
      <c r="P61" s="22">
        <v>133263.19361905454</v>
      </c>
      <c r="Q61" s="22">
        <v>17281988.902098771</v>
      </c>
      <c r="S61" s="23">
        <v>42479.285802356906</v>
      </c>
      <c r="T61" s="23">
        <v>478098.13184010505</v>
      </c>
      <c r="U61" s="23">
        <v>236517.07689771653</v>
      </c>
      <c r="V61" s="23">
        <v>71989.502239607042</v>
      </c>
      <c r="W61" s="23">
        <v>61273.691379447504</v>
      </c>
      <c r="Y61" s="23">
        <v>0</v>
      </c>
      <c r="Z61" s="23">
        <v>-103549.74949999504</v>
      </c>
      <c r="AA61" s="23">
        <v>-691621.21764453361</v>
      </c>
      <c r="AB61" s="23">
        <v>-428099.65699181089</v>
      </c>
    </row>
    <row r="62" spans="2:30" x14ac:dyDescent="0.2">
      <c r="B62" s="3" t="s">
        <v>8</v>
      </c>
      <c r="C62" s="4" t="s">
        <v>9</v>
      </c>
      <c r="D62" s="3" t="s">
        <v>8</v>
      </c>
      <c r="E62" s="4" t="s">
        <v>9</v>
      </c>
      <c r="F62" s="25">
        <v>141780</v>
      </c>
      <c r="G62" s="23">
        <v>3118776.7868856713</v>
      </c>
      <c r="H62" s="23">
        <v>72284.606891195814</v>
      </c>
      <c r="I62" s="23">
        <v>-37744.707228592721</v>
      </c>
      <c r="J62" s="23">
        <v>4009414.6013047765</v>
      </c>
      <c r="K62" s="23">
        <v>2546928.5981444689</v>
      </c>
      <c r="L62" s="23">
        <v>649462.29018215125</v>
      </c>
      <c r="M62" s="23">
        <v>447817.18061459798</v>
      </c>
      <c r="N62" s="23">
        <v>495476.95737905684</v>
      </c>
      <c r="O62" s="23">
        <v>377774.38304664753</v>
      </c>
      <c r="P62" s="23">
        <v>106007.80047273825</v>
      </c>
      <c r="Q62" s="23">
        <v>11786198.49769271</v>
      </c>
      <c r="S62" s="22">
        <v>2552.2295846231286</v>
      </c>
      <c r="T62" s="22">
        <v>364520.80961573694</v>
      </c>
      <c r="U62" s="22">
        <v>128403.91817869678</v>
      </c>
      <c r="V62" s="22">
        <v>64030.527580275171</v>
      </c>
      <c r="W62" s="22">
        <v>41977.272892463065</v>
      </c>
      <c r="Y62" s="22">
        <v>0</v>
      </c>
      <c r="Z62" s="22">
        <v>-65177.452332981091</v>
      </c>
      <c r="AA62" s="22">
        <v>-499702.75208272901</v>
      </c>
      <c r="AB62" s="22">
        <v>-463300.44736795535</v>
      </c>
    </row>
    <row r="63" spans="2:30" x14ac:dyDescent="0.2">
      <c r="B63" s="5" t="s">
        <v>10</v>
      </c>
      <c r="C63" s="6" t="s">
        <v>11</v>
      </c>
      <c r="D63" s="5" t="s">
        <v>10</v>
      </c>
      <c r="E63" s="6" t="s">
        <v>11</v>
      </c>
      <c r="F63" s="21">
        <v>83905</v>
      </c>
      <c r="G63" s="22">
        <v>1845683.2155709006</v>
      </c>
      <c r="H63" s="22">
        <v>46658.774842560233</v>
      </c>
      <c r="I63" s="22">
        <v>-25481.262162206804</v>
      </c>
      <c r="J63" s="22">
        <v>2084210.985204241</v>
      </c>
      <c r="K63" s="22">
        <v>1627538.8426190175</v>
      </c>
      <c r="L63" s="22">
        <v>311250.39062555251</v>
      </c>
      <c r="M63" s="22">
        <v>271949.36981652485</v>
      </c>
      <c r="N63" s="22">
        <v>284409.2499598859</v>
      </c>
      <c r="O63" s="22">
        <v>223565.80342452362</v>
      </c>
      <c r="P63" s="22">
        <v>56387.646936687124</v>
      </c>
      <c r="Q63" s="22">
        <v>6726173.0168376863</v>
      </c>
      <c r="S63" s="23">
        <v>1645.7753686154465</v>
      </c>
      <c r="T63" s="23">
        <v>186780.65928554724</v>
      </c>
      <c r="U63" s="23">
        <v>95982.815305723198</v>
      </c>
      <c r="V63" s="23">
        <v>30895.786856521423</v>
      </c>
      <c r="W63" s="23">
        <v>25491.860080165701</v>
      </c>
      <c r="Y63" s="23">
        <v>0</v>
      </c>
      <c r="Z63" s="23">
        <v>-42927.490215136153</v>
      </c>
      <c r="AA63" s="23">
        <v>-232239.82397288462</v>
      </c>
      <c r="AB63" s="23">
        <v>-189417.42964454307</v>
      </c>
    </row>
    <row r="64" spans="2:30" x14ac:dyDescent="0.2">
      <c r="B64" s="3" t="s">
        <v>12</v>
      </c>
      <c r="C64" s="4" t="s">
        <v>13</v>
      </c>
      <c r="D64" s="3" t="s">
        <v>12</v>
      </c>
      <c r="E64" s="4" t="s">
        <v>13</v>
      </c>
      <c r="F64" s="25">
        <v>243065</v>
      </c>
      <c r="G64" s="23">
        <v>5346773.0265507512</v>
      </c>
      <c r="H64" s="23">
        <v>311081.43261844676</v>
      </c>
      <c r="I64" s="23">
        <v>-35061.436676715864</v>
      </c>
      <c r="J64" s="23">
        <v>6602646.8389671016</v>
      </c>
      <c r="K64" s="23">
        <v>4191580.3807641286</v>
      </c>
      <c r="L64" s="23">
        <v>1121940.0248092695</v>
      </c>
      <c r="M64" s="23">
        <v>660124.27418514038</v>
      </c>
      <c r="N64" s="23">
        <v>881699.26724141859</v>
      </c>
      <c r="O64" s="23">
        <v>647649.38930197037</v>
      </c>
      <c r="P64" s="23">
        <v>172471.25814615705</v>
      </c>
      <c r="Q64" s="23">
        <v>19900904.455907665</v>
      </c>
      <c r="S64" s="22">
        <v>18639.814683673176</v>
      </c>
      <c r="T64" s="22">
        <v>614856.59806748002</v>
      </c>
      <c r="U64" s="22">
        <v>248202.85449026545</v>
      </c>
      <c r="V64" s="22">
        <v>110592.84436493856</v>
      </c>
      <c r="W64" s="22">
        <v>61878.413781218493</v>
      </c>
      <c r="Y64" s="22">
        <v>0</v>
      </c>
      <c r="Z64" s="22">
        <v>-70666.633442741033</v>
      </c>
      <c r="AA64" s="22">
        <v>-801136.47862238216</v>
      </c>
      <c r="AB64" s="22">
        <v>-417894.62545050593</v>
      </c>
    </row>
    <row r="65" spans="2:30" x14ac:dyDescent="0.2">
      <c r="B65" s="5" t="s">
        <v>14</v>
      </c>
      <c r="C65" s="6" t="s">
        <v>15</v>
      </c>
      <c r="D65" s="5" t="s">
        <v>14</v>
      </c>
      <c r="E65" s="6" t="s">
        <v>15</v>
      </c>
      <c r="F65" s="21">
        <v>58702</v>
      </c>
      <c r="G65" s="22">
        <v>1291285.3360400803</v>
      </c>
      <c r="H65" s="22">
        <v>471551.51394506037</v>
      </c>
      <c r="I65" s="22">
        <v>-25280.994257038186</v>
      </c>
      <c r="J65" s="22">
        <v>1174615.7224935624</v>
      </c>
      <c r="K65" s="22">
        <v>1531799.4764661153</v>
      </c>
      <c r="L65" s="22">
        <v>158185.94595824581</v>
      </c>
      <c r="M65" s="22">
        <v>274503.11091002863</v>
      </c>
      <c r="N65" s="22">
        <v>224752.0701967827</v>
      </c>
      <c r="O65" s="22">
        <v>156412.13029767462</v>
      </c>
      <c r="P65" s="22">
        <v>41500.13699639593</v>
      </c>
      <c r="Q65" s="22">
        <v>5299324.449046907</v>
      </c>
      <c r="S65" s="23">
        <v>29647.542103294454</v>
      </c>
      <c r="T65" s="23">
        <v>98673.936415066972</v>
      </c>
      <c r="U65" s="23">
        <v>96430.591678421275</v>
      </c>
      <c r="V65" s="23">
        <v>15768.89555388147</v>
      </c>
      <c r="W65" s="23">
        <v>25731.24144251446</v>
      </c>
      <c r="Y65" s="23">
        <v>0</v>
      </c>
      <c r="Z65" s="23">
        <v>-40359.237333468991</v>
      </c>
      <c r="AA65" s="23">
        <v>-121606.00506206365</v>
      </c>
      <c r="AB65" s="23">
        <v>-170909.11041578118</v>
      </c>
    </row>
    <row r="66" spans="2:30" x14ac:dyDescent="0.2">
      <c r="B66" s="3" t="s">
        <v>16</v>
      </c>
      <c r="C66" s="4" t="s">
        <v>17</v>
      </c>
      <c r="D66" s="3" t="s">
        <v>18</v>
      </c>
      <c r="E66" s="4" t="s">
        <v>19</v>
      </c>
      <c r="F66" s="25">
        <v>26679</v>
      </c>
      <c r="G66" s="23">
        <v>587297.53187705192</v>
      </c>
      <c r="H66" s="23">
        <v>1681900.0782326059</v>
      </c>
      <c r="I66" s="23">
        <v>-11780.393223490801</v>
      </c>
      <c r="J66" s="23">
        <v>635491.99595647922</v>
      </c>
      <c r="K66" s="23">
        <v>502222.95115717576</v>
      </c>
      <c r="L66" s="23">
        <v>65708.503778860366</v>
      </c>
      <c r="M66" s="23">
        <v>78332.547869204267</v>
      </c>
      <c r="N66" s="23">
        <v>212785.64457628242</v>
      </c>
      <c r="O66" s="23">
        <v>71172.819859942421</v>
      </c>
      <c r="P66" s="23">
        <v>13913.54929319316</v>
      </c>
      <c r="Q66" s="23">
        <v>3837045.2293773042</v>
      </c>
      <c r="S66" s="22">
        <v>127587.48838978248</v>
      </c>
      <c r="T66" s="22">
        <v>52960.656962605652</v>
      </c>
      <c r="U66" s="22">
        <v>32237.499223894301</v>
      </c>
      <c r="V66" s="22">
        <v>6570.8503512840825</v>
      </c>
      <c r="W66" s="22">
        <v>7342.698941909076</v>
      </c>
      <c r="Y66" s="22">
        <v>-134472.35</v>
      </c>
      <c r="Z66" s="22">
        <v>-19666.794367269555</v>
      </c>
      <c r="AA66" s="22">
        <v>-66086.429876428796</v>
      </c>
      <c r="AB66" s="22">
        <v>-33773.431044421537</v>
      </c>
    </row>
    <row r="67" spans="2:30" x14ac:dyDescent="0.2">
      <c r="B67" s="5" t="s">
        <v>16</v>
      </c>
      <c r="C67" s="6" t="s">
        <v>17</v>
      </c>
      <c r="D67" s="5" t="s">
        <v>20</v>
      </c>
      <c r="E67" s="6" t="s">
        <v>15</v>
      </c>
      <c r="F67" s="21">
        <v>1485</v>
      </c>
      <c r="G67" s="22">
        <v>32690.012175772044</v>
      </c>
      <c r="H67" s="22">
        <v>107735.5100902581</v>
      </c>
      <c r="I67" s="22">
        <v>-548.89848895275532</v>
      </c>
      <c r="J67" s="22">
        <v>37074.892146500642</v>
      </c>
      <c r="K67" s="22">
        <v>18792.715084842799</v>
      </c>
      <c r="L67" s="22">
        <v>3858.1131238551397</v>
      </c>
      <c r="M67" s="22">
        <v>2413.8910707841706</v>
      </c>
      <c r="N67" s="22">
        <v>11972.604705246336</v>
      </c>
      <c r="O67" s="22">
        <v>3961.6041640246822</v>
      </c>
      <c r="P67" s="22">
        <v>612.08362098021837</v>
      </c>
      <c r="Q67" s="22">
        <v>218562.52769331133</v>
      </c>
      <c r="S67" s="23">
        <v>7897.8399429023157</v>
      </c>
      <c r="T67" s="23">
        <v>2972.8160654895701</v>
      </c>
      <c r="U67" s="23">
        <v>1101.9486968544516</v>
      </c>
      <c r="V67" s="23">
        <v>385.81145323551357</v>
      </c>
      <c r="W67" s="23">
        <v>226.27216774470469</v>
      </c>
      <c r="Y67" s="23">
        <v>-648.9</v>
      </c>
      <c r="Z67" s="23">
        <v>-949.96056322732613</v>
      </c>
      <c r="AA67" s="23">
        <v>-3425.7208783653418</v>
      </c>
      <c r="AB67" s="23">
        <v>-1073.3889903441343</v>
      </c>
    </row>
    <row r="68" spans="2:30" x14ac:dyDescent="0.2">
      <c r="B68" s="3" t="s">
        <v>16</v>
      </c>
      <c r="C68" s="4" t="s">
        <v>17</v>
      </c>
      <c r="D68" s="3" t="s">
        <v>21</v>
      </c>
      <c r="E68" s="4" t="s">
        <v>22</v>
      </c>
      <c r="F68" s="25">
        <v>26239</v>
      </c>
      <c r="G68" s="23">
        <v>577611.60234348977</v>
      </c>
      <c r="H68" s="23">
        <v>1561602.8970377361</v>
      </c>
      <c r="I68" s="23">
        <v>-10778.228995318354</v>
      </c>
      <c r="J68" s="23">
        <v>655814.34349208383</v>
      </c>
      <c r="K68" s="23">
        <v>495415.99219613743</v>
      </c>
      <c r="L68" s="23">
        <v>67083.15244599944</v>
      </c>
      <c r="M68" s="23">
        <v>77374.022335709087</v>
      </c>
      <c r="N68" s="23">
        <v>204094.32357129658</v>
      </c>
      <c r="O68" s="23">
        <v>69999.011218749903</v>
      </c>
      <c r="P68" s="23">
        <v>13961.167300247374</v>
      </c>
      <c r="Q68" s="23">
        <v>3712178.2829461312</v>
      </c>
      <c r="S68" s="22">
        <v>117576.60622862526</v>
      </c>
      <c r="T68" s="22">
        <v>54711.968184282705</v>
      </c>
      <c r="U68" s="22">
        <v>31805.749158388651</v>
      </c>
      <c r="V68" s="22">
        <v>6708.3181667773142</v>
      </c>
      <c r="W68" s="22">
        <v>7252.8491334700593</v>
      </c>
      <c r="Y68" s="22">
        <v>-280410.25999999995</v>
      </c>
      <c r="Z68" s="22">
        <v>-18253.452996785381</v>
      </c>
      <c r="AA68" s="22">
        <v>-60852.191596619356</v>
      </c>
      <c r="AB68" s="22">
        <v>-33447.989959348291</v>
      </c>
    </row>
    <row r="69" spans="2:30" x14ac:dyDescent="0.2">
      <c r="B69" s="5" t="s">
        <v>16</v>
      </c>
      <c r="C69" s="6" t="s">
        <v>17</v>
      </c>
      <c r="D69" s="5" t="s">
        <v>23</v>
      </c>
      <c r="E69" s="6" t="s">
        <v>24</v>
      </c>
      <c r="F69" s="21">
        <v>6501</v>
      </c>
      <c r="G69" s="22">
        <v>143109.60885837977</v>
      </c>
      <c r="H69" s="22">
        <v>460740.85980783915</v>
      </c>
      <c r="I69" s="22">
        <v>-2739.6007886576554</v>
      </c>
      <c r="J69" s="22">
        <v>166773.55367572949</v>
      </c>
      <c r="K69" s="22">
        <v>187357.7920288782</v>
      </c>
      <c r="L69" s="22">
        <v>17350.745614262814</v>
      </c>
      <c r="M69" s="22">
        <v>34061.220162132588</v>
      </c>
      <c r="N69" s="22">
        <v>62516.875016228805</v>
      </c>
      <c r="O69" s="22">
        <v>17343.022673619162</v>
      </c>
      <c r="P69" s="22">
        <v>4927.8886722146581</v>
      </c>
      <c r="Q69" s="22">
        <v>1091441.965720627</v>
      </c>
      <c r="S69" s="23">
        <v>36340.193323673942</v>
      </c>
      <c r="T69" s="23">
        <v>14095.648781244232</v>
      </c>
      <c r="U69" s="23">
        <v>12081.032911310627</v>
      </c>
      <c r="V69" s="23">
        <v>1735.0742923960743</v>
      </c>
      <c r="W69" s="23">
        <v>3192.8143798185847</v>
      </c>
      <c r="Y69" s="23">
        <v>-2875.25</v>
      </c>
      <c r="Z69" s="23">
        <v>-4607.4916446118777</v>
      </c>
      <c r="AA69" s="23">
        <v>-17066.607746957212</v>
      </c>
      <c r="AB69" s="23">
        <v>-19943.819206810887</v>
      </c>
    </row>
    <row r="70" spans="2:30" x14ac:dyDescent="0.2">
      <c r="B70" s="3" t="s">
        <v>16</v>
      </c>
      <c r="C70" s="4" t="s">
        <v>17</v>
      </c>
      <c r="D70" s="3" t="s">
        <v>25</v>
      </c>
      <c r="E70" s="4" t="s">
        <v>26</v>
      </c>
      <c r="F70" s="25">
        <v>1927</v>
      </c>
      <c r="G70" s="23">
        <v>42419.968661759391</v>
      </c>
      <c r="H70" s="23">
        <v>135393.30031145865</v>
      </c>
      <c r="I70" s="23">
        <v>-945.74626685430496</v>
      </c>
      <c r="J70" s="23">
        <v>46403.340773141746</v>
      </c>
      <c r="K70" s="23">
        <v>36560.577841771483</v>
      </c>
      <c r="L70" s="23">
        <v>4526.3650235258829</v>
      </c>
      <c r="M70" s="23">
        <v>5728.3866933051195</v>
      </c>
      <c r="N70" s="23">
        <v>16465.191692172735</v>
      </c>
      <c r="O70" s="23">
        <v>5140.7482990407807</v>
      </c>
      <c r="P70" s="23">
        <v>989.60119936065939</v>
      </c>
      <c r="Q70" s="23">
        <v>292681.73422868212</v>
      </c>
      <c r="S70" s="22">
        <v>10290.367608818437</v>
      </c>
      <c r="T70" s="22">
        <v>3830.5362090790513</v>
      </c>
      <c r="U70" s="22">
        <v>2344.2878742752473</v>
      </c>
      <c r="V70" s="22">
        <v>452.63642474346926</v>
      </c>
      <c r="W70" s="22">
        <v>536.96477461719019</v>
      </c>
      <c r="Y70" s="22">
        <v>-861.7</v>
      </c>
      <c r="Z70" s="22">
        <v>-1514.5662977789921</v>
      </c>
      <c r="AA70" s="22">
        <v>-4747.4199490845131</v>
      </c>
      <c r="AB70" s="22">
        <v>-2515.0364443673643</v>
      </c>
    </row>
    <row r="71" spans="2:30" x14ac:dyDescent="0.2">
      <c r="B71" s="5" t="s">
        <v>27</v>
      </c>
      <c r="C71" s="6" t="s">
        <v>24</v>
      </c>
      <c r="D71" s="5" t="s">
        <v>27</v>
      </c>
      <c r="E71" s="6" t="s">
        <v>24</v>
      </c>
      <c r="F71" s="21">
        <v>15504</v>
      </c>
      <c r="G71" s="22">
        <v>341296.9352007875</v>
      </c>
      <c r="H71" s="22">
        <v>82653.414656201159</v>
      </c>
      <c r="I71" s="22">
        <v>-7881.1737211327963</v>
      </c>
      <c r="J71" s="22">
        <v>384386.32497724681</v>
      </c>
      <c r="K71" s="22">
        <v>361358.72994653141</v>
      </c>
      <c r="L71" s="22">
        <v>41810.209749845613</v>
      </c>
      <c r="M71" s="22">
        <v>62968.978145822242</v>
      </c>
      <c r="N71" s="22">
        <v>58932.447454001885</v>
      </c>
      <c r="O71" s="22">
        <v>41360.748120564756</v>
      </c>
      <c r="P71" s="22">
        <v>10056.26828853338</v>
      </c>
      <c r="Q71" s="22">
        <v>1376942.882818402</v>
      </c>
      <c r="S71" s="23">
        <v>4135.1618272958276</v>
      </c>
      <c r="T71" s="23">
        <v>32381.99835462109</v>
      </c>
      <c r="U71" s="23">
        <v>22415.287272084966</v>
      </c>
      <c r="V71" s="23">
        <v>4153.7123040599299</v>
      </c>
      <c r="W71" s="23">
        <v>5902.5559844734489</v>
      </c>
      <c r="Y71" s="23">
        <v>0</v>
      </c>
      <c r="Z71" s="23">
        <v>-12647.470716825021</v>
      </c>
      <c r="AA71" s="23">
        <v>-43501.758810895364</v>
      </c>
      <c r="AB71" s="23">
        <v>-39489.520180757849</v>
      </c>
    </row>
    <row r="72" spans="2:30" x14ac:dyDescent="0.2">
      <c r="B72" s="3" t="s">
        <v>28</v>
      </c>
      <c r="C72" s="4" t="s">
        <v>26</v>
      </c>
      <c r="D72" s="3" t="s">
        <v>28</v>
      </c>
      <c r="E72" s="4" t="s">
        <v>26</v>
      </c>
      <c r="F72" s="25">
        <v>25603</v>
      </c>
      <c r="G72" s="23">
        <v>563611.03147224977</v>
      </c>
      <c r="H72" s="23">
        <v>80561.545086722166</v>
      </c>
      <c r="I72" s="23">
        <v>-4147.274117406294</v>
      </c>
      <c r="J72" s="23">
        <v>652295.63625958131</v>
      </c>
      <c r="K72" s="23">
        <v>426276.45764481922</v>
      </c>
      <c r="L72" s="23">
        <v>86106.275439358113</v>
      </c>
      <c r="M72" s="23">
        <v>65460.432889800642</v>
      </c>
      <c r="N72" s="23">
        <v>89421.301372160699</v>
      </c>
      <c r="O72" s="23">
        <v>68302.324182844386</v>
      </c>
      <c r="P72" s="23">
        <v>14698.797247666813</v>
      </c>
      <c r="Q72" s="23">
        <v>2042586.5274777969</v>
      </c>
      <c r="S72" s="22">
        <v>3759.1022333379051</v>
      </c>
      <c r="T72" s="22">
        <v>60174.185824293374</v>
      </c>
      <c r="U72" s="22">
        <v>25488.013314529413</v>
      </c>
      <c r="V72" s="22">
        <v>8562.6984689136352</v>
      </c>
      <c r="W72" s="22">
        <v>6136.0987787531785</v>
      </c>
      <c r="Y72" s="22">
        <v>0</v>
      </c>
      <c r="Z72" s="22">
        <v>-9274.0551621563591</v>
      </c>
      <c r="AA72" s="22">
        <v>-77580.048654832834</v>
      </c>
      <c r="AB72" s="22">
        <v>-38354.335957649135</v>
      </c>
    </row>
    <row r="73" spans="2:30" x14ac:dyDescent="0.2">
      <c r="B73" s="5" t="s">
        <v>29</v>
      </c>
      <c r="C73" s="6" t="s">
        <v>30</v>
      </c>
      <c r="D73" s="5" t="s">
        <v>29</v>
      </c>
      <c r="E73" s="6" t="s">
        <v>30</v>
      </c>
      <c r="F73" s="21">
        <v>22007</v>
      </c>
      <c r="G73" s="22">
        <v>484450.57101159269</v>
      </c>
      <c r="H73" s="22">
        <v>153362.78206359458</v>
      </c>
      <c r="I73" s="22">
        <v>-9082.0151965427431</v>
      </c>
      <c r="J73" s="22">
        <v>453099.50337138638</v>
      </c>
      <c r="K73" s="22">
        <v>516794.46820974431</v>
      </c>
      <c r="L73" s="22">
        <v>35213.054724880647</v>
      </c>
      <c r="M73" s="22">
        <v>89399.979760095244</v>
      </c>
      <c r="N73" s="22">
        <v>75511.449996453899</v>
      </c>
      <c r="O73" s="22">
        <v>58709.106288007526</v>
      </c>
      <c r="P73" s="22">
        <v>11880.033896876261</v>
      </c>
      <c r="Q73" s="22">
        <v>1869338.9341260889</v>
      </c>
      <c r="S73" s="23">
        <v>8151.5609629370592</v>
      </c>
      <c r="T73" s="23">
        <v>34780.549399060408</v>
      </c>
      <c r="U73" s="23">
        <v>32579.339634456439</v>
      </c>
      <c r="V73" s="23">
        <v>3499.9013128164447</v>
      </c>
      <c r="W73" s="23">
        <v>8380.1325840598165</v>
      </c>
      <c r="Y73" s="23">
        <v>0</v>
      </c>
      <c r="Z73" s="23">
        <v>-15364.710621592047</v>
      </c>
      <c r="AA73" s="23">
        <v>-57186.344695080974</v>
      </c>
      <c r="AB73" s="23">
        <v>-52284.401934043213</v>
      </c>
    </row>
    <row r="74" spans="2:30" x14ac:dyDescent="0.2">
      <c r="B74" s="3" t="s">
        <v>31</v>
      </c>
      <c r="C74" s="4" t="s">
        <v>32</v>
      </c>
      <c r="D74" s="3" t="s">
        <v>31</v>
      </c>
      <c r="E74" s="4" t="s">
        <v>33</v>
      </c>
      <c r="F74" s="25">
        <v>23628</v>
      </c>
      <c r="G74" s="23">
        <v>520134.41595228401</v>
      </c>
      <c r="H74" s="23">
        <v>265854.33876795211</v>
      </c>
      <c r="I74" s="23">
        <v>-14126.847625500159</v>
      </c>
      <c r="J74" s="23">
        <v>517968.74302340165</v>
      </c>
      <c r="K74" s="23">
        <v>611093.18133629346</v>
      </c>
      <c r="L74" s="23">
        <v>53407.348842690386</v>
      </c>
      <c r="M74" s="23">
        <v>108807.07493767038</v>
      </c>
      <c r="N74" s="23">
        <v>96539.714021641921</v>
      </c>
      <c r="O74" s="23">
        <v>63033.524032037159</v>
      </c>
      <c r="P74" s="23">
        <v>15444.960906300939</v>
      </c>
      <c r="Q74" s="23">
        <v>2238156.4541947721</v>
      </c>
      <c r="S74" s="22">
        <v>14144.625868143823</v>
      </c>
      <c r="T74" s="22">
        <v>43679.523302590933</v>
      </c>
      <c r="U74" s="22">
        <v>38715.564850907169</v>
      </c>
      <c r="V74" s="22">
        <v>5245.6553079297591</v>
      </c>
      <c r="W74" s="22">
        <v>10199.30559837118</v>
      </c>
      <c r="Y74" s="22">
        <v>0</v>
      </c>
      <c r="Z74" s="22">
        <v>-22409.23885307946</v>
      </c>
      <c r="AA74" s="22">
        <v>-70864.752107948458</v>
      </c>
      <c r="AB74" s="22">
        <v>-65576.107366677184</v>
      </c>
    </row>
    <row r="75" spans="2:30" x14ac:dyDescent="0.2">
      <c r="B75" s="5" t="s">
        <v>34</v>
      </c>
      <c r="C75" s="6" t="s">
        <v>35</v>
      </c>
      <c r="D75" s="5" t="s">
        <v>34</v>
      </c>
      <c r="E75" s="6" t="s">
        <v>35</v>
      </c>
      <c r="F75" s="21">
        <v>3198</v>
      </c>
      <c r="G75" s="22">
        <v>70399.096928026251</v>
      </c>
      <c r="H75" s="22">
        <v>31784.973832780495</v>
      </c>
      <c r="I75" s="22">
        <v>-1987.0792021321297</v>
      </c>
      <c r="J75" s="22">
        <v>77927.608632141753</v>
      </c>
      <c r="K75" s="22">
        <v>87343.018062578543</v>
      </c>
      <c r="L75" s="22">
        <v>9040.8977031011091</v>
      </c>
      <c r="M75" s="22">
        <v>15594.049013136389</v>
      </c>
      <c r="N75" s="22">
        <v>14216.129252443163</v>
      </c>
      <c r="O75" s="22">
        <v>8531.4546239400224</v>
      </c>
      <c r="P75" s="22">
        <v>2339.8639788178293</v>
      </c>
      <c r="Q75" s="22">
        <v>315190.01282483339</v>
      </c>
      <c r="S75" s="23">
        <v>1679.4740174304491</v>
      </c>
      <c r="T75" s="23">
        <v>6877.9689030956042</v>
      </c>
      <c r="U75" s="23">
        <v>5658.6863319171098</v>
      </c>
      <c r="V75" s="23">
        <v>878.11646385093275</v>
      </c>
      <c r="W75" s="23">
        <v>1461.7475149668967</v>
      </c>
      <c r="Y75" s="23">
        <v>0</v>
      </c>
      <c r="Z75" s="23">
        <v>-3047.8596962975107</v>
      </c>
      <c r="AA75" s="23">
        <v>-11611.369462110599</v>
      </c>
      <c r="AB75" s="23">
        <v>-8684.6506256782086</v>
      </c>
    </row>
    <row r="76" spans="2:30" x14ac:dyDescent="0.2">
      <c r="B76" s="7" t="s">
        <v>36</v>
      </c>
      <c r="C76" s="8"/>
      <c r="D76" s="7"/>
      <c r="E76" s="8"/>
      <c r="F76" s="26">
        <v>914470</v>
      </c>
      <c r="G76" s="27">
        <v>20118340</v>
      </c>
      <c r="H76" s="27">
        <v>6122248.540000001</v>
      </c>
      <c r="I76" s="27">
        <v>-261792.99999999994</v>
      </c>
      <c r="J76" s="27">
        <v>23817836.000000007</v>
      </c>
      <c r="K76" s="27">
        <v>17785409.003333338</v>
      </c>
      <c r="L76" s="27">
        <v>3464027.9999999995</v>
      </c>
      <c r="M76" s="27">
        <v>2972971.0000000014</v>
      </c>
      <c r="N76" s="27">
        <v>3602888.286069613</v>
      </c>
      <c r="O76" s="27">
        <v>2437109.7999999998</v>
      </c>
      <c r="P76" s="27">
        <v>620655.04000000015</v>
      </c>
      <c r="Q76" s="27">
        <v>80679692.669402957</v>
      </c>
      <c r="S76" s="27">
        <v>430133.7754029475</v>
      </c>
      <c r="T76" s="27">
        <v>2122478.5199999996</v>
      </c>
      <c r="U76" s="27">
        <v>1050275.9906666672</v>
      </c>
      <c r="V76" s="27">
        <v>341976.10499999986</v>
      </c>
      <c r="W76" s="27">
        <v>278678.93500000017</v>
      </c>
      <c r="Y76" s="27">
        <v>-419268.45999999996</v>
      </c>
      <c r="Z76" s="27">
        <v>-450962.99999999988</v>
      </c>
      <c r="AA76" s="27">
        <v>-2870893</v>
      </c>
      <c r="AB76" s="27">
        <v>-2063295.9966666673</v>
      </c>
      <c r="AD76" s="34"/>
    </row>
    <row r="78" spans="2:30" ht="25.5" x14ac:dyDescent="0.2">
      <c r="B78" s="29">
        <v>2023</v>
      </c>
      <c r="C78" s="2" t="s">
        <v>1</v>
      </c>
      <c r="D78" s="2" t="s">
        <v>2</v>
      </c>
      <c r="E78" s="2" t="s">
        <v>3</v>
      </c>
      <c r="F78" s="2" t="s">
        <v>88</v>
      </c>
      <c r="G78" s="2" t="s">
        <v>89</v>
      </c>
      <c r="H78" s="2" t="s">
        <v>44</v>
      </c>
      <c r="I78" s="2" t="s">
        <v>45</v>
      </c>
      <c r="J78" s="2" t="s">
        <v>46</v>
      </c>
      <c r="K78" s="2" t="s">
        <v>47</v>
      </c>
      <c r="L78" s="2" t="s">
        <v>90</v>
      </c>
      <c r="M78" s="2" t="s">
        <v>91</v>
      </c>
      <c r="N78" s="2" t="s">
        <v>92</v>
      </c>
      <c r="O78" s="2" t="s">
        <v>93</v>
      </c>
      <c r="P78" s="2" t="s">
        <v>94</v>
      </c>
      <c r="Q78" s="2" t="s">
        <v>95</v>
      </c>
      <c r="R78" s="1"/>
      <c r="S78" s="2" t="s">
        <v>96</v>
      </c>
      <c r="T78" s="2" t="s">
        <v>97</v>
      </c>
      <c r="U78" s="2" t="s">
        <v>98</v>
      </c>
      <c r="V78" s="2" t="s">
        <v>99</v>
      </c>
      <c r="W78" s="2" t="s">
        <v>100</v>
      </c>
      <c r="X78" s="1"/>
      <c r="Y78" s="2" t="s">
        <v>101</v>
      </c>
      <c r="Z78" s="2" t="s">
        <v>102</v>
      </c>
      <c r="AA78" s="2" t="s">
        <v>103</v>
      </c>
      <c r="AB78" s="2" t="s">
        <v>104</v>
      </c>
    </row>
    <row r="79" spans="2:30" ht="14.25" x14ac:dyDescent="0.2">
      <c r="B79" s="3" t="s">
        <v>4</v>
      </c>
      <c r="C79" s="4" t="s">
        <v>5</v>
      </c>
      <c r="D79" s="3" t="s">
        <v>4</v>
      </c>
      <c r="E79" s="4" t="s">
        <v>5</v>
      </c>
      <c r="F79" s="25">
        <v>30539</v>
      </c>
      <c r="G79" s="23">
        <v>671849.70150164806</v>
      </c>
      <c r="H79" s="23">
        <v>50295.301641687794</v>
      </c>
      <c r="I79" s="23">
        <v>-12804.367242013728</v>
      </c>
      <c r="J79" s="23">
        <v>889128.00195228332</v>
      </c>
      <c r="K79" s="23">
        <v>699148.70029431686</v>
      </c>
      <c r="L79" s="23">
        <v>121487.98759309499</v>
      </c>
      <c r="M79" s="23">
        <v>158948.06360907585</v>
      </c>
      <c r="N79" s="23">
        <v>118729.6927506119</v>
      </c>
      <c r="O79" s="23">
        <v>67897.469150202945</v>
      </c>
      <c r="P79" s="23">
        <v>26761.887520210261</v>
      </c>
      <c r="Q79" s="23">
        <v>2791442.4387711179</v>
      </c>
      <c r="R79" s="1"/>
      <c r="S79" s="22">
        <v>3652.7677772713564</v>
      </c>
      <c r="T79" s="22">
        <v>74399.336403240668</v>
      </c>
      <c r="U79" s="22">
        <v>40677.588570099884</v>
      </c>
      <c r="V79" s="22">
        <v>11831.591010216991</v>
      </c>
      <c r="W79" s="22">
        <v>14930.296509993272</v>
      </c>
      <c r="X79" s="30"/>
      <c r="Y79" s="22">
        <v>0</v>
      </c>
      <c r="Z79" s="22">
        <v>-20609.579921208544</v>
      </c>
      <c r="AA79" s="22">
        <v>-71694.616352478144</v>
      </c>
      <c r="AB79" s="22">
        <v>-108793.86103150979</v>
      </c>
    </row>
    <row r="80" spans="2:30" ht="14.25" x14ac:dyDescent="0.2">
      <c r="B80" s="5" t="s">
        <v>6</v>
      </c>
      <c r="C80" s="6" t="s">
        <v>7</v>
      </c>
      <c r="D80" s="5" t="s">
        <v>6</v>
      </c>
      <c r="E80" s="6" t="s">
        <v>7</v>
      </c>
      <c r="F80" s="21">
        <v>204412</v>
      </c>
      <c r="G80" s="22">
        <v>4497008.4542177152</v>
      </c>
      <c r="H80" s="22">
        <v>624758.589442736</v>
      </c>
      <c r="I80" s="22">
        <v>-61222.131130081172</v>
      </c>
      <c r="J80" s="22">
        <v>5823636.177274243</v>
      </c>
      <c r="K80" s="22">
        <v>3952120.4199110195</v>
      </c>
      <c r="L80" s="22">
        <v>829585.41409632633</v>
      </c>
      <c r="M80" s="22">
        <v>830919.51648311596</v>
      </c>
      <c r="N80" s="22">
        <v>766895.43630780512</v>
      </c>
      <c r="O80" s="22">
        <v>454469.93889555271</v>
      </c>
      <c r="P80" s="22">
        <v>159579.26054394848</v>
      </c>
      <c r="Q80" s="22">
        <v>17877751.076042384</v>
      </c>
      <c r="R80" s="1"/>
      <c r="S80" s="23">
        <v>43381.159605862966</v>
      </c>
      <c r="T80" s="23">
        <v>486709.29762648611</v>
      </c>
      <c r="U80" s="23">
        <v>236804.97907545621</v>
      </c>
      <c r="V80" s="23">
        <v>81529.396485555524</v>
      </c>
      <c r="W80" s="23">
        <v>78049.864058392952</v>
      </c>
      <c r="X80" s="30"/>
      <c r="Y80" s="23">
        <v>0</v>
      </c>
      <c r="Z80" s="23">
        <v>-103860.10094164756</v>
      </c>
      <c r="AA80" s="23">
        <v>-425605.22225595423</v>
      </c>
      <c r="AB80" s="23">
        <v>-495786.6537744698</v>
      </c>
    </row>
    <row r="81" spans="2:30" ht="14.25" x14ac:dyDescent="0.2">
      <c r="B81" s="3" t="s">
        <v>8</v>
      </c>
      <c r="C81" s="4" t="s">
        <v>9</v>
      </c>
      <c r="D81" s="3" t="s">
        <v>8</v>
      </c>
      <c r="E81" s="4" t="s">
        <v>9</v>
      </c>
      <c r="F81" s="25">
        <v>142207</v>
      </c>
      <c r="G81" s="23">
        <v>3128515.3574591437</v>
      </c>
      <c r="H81" s="23">
        <v>73213.900343516245</v>
      </c>
      <c r="I81" s="23">
        <v>-37649.773958200523</v>
      </c>
      <c r="J81" s="23">
        <v>4266884.5148055702</v>
      </c>
      <c r="K81" s="23">
        <v>2543757.2860786179</v>
      </c>
      <c r="L81" s="23">
        <v>746301.13161349203</v>
      </c>
      <c r="M81" s="23">
        <v>568219.42429570144</v>
      </c>
      <c r="N81" s="23">
        <v>501893.76911839133</v>
      </c>
      <c r="O81" s="23">
        <v>316169.33741913328</v>
      </c>
      <c r="P81" s="23">
        <v>126872.49111812559</v>
      </c>
      <c r="Q81" s="23">
        <v>12234177.438293491</v>
      </c>
      <c r="R81" s="1"/>
      <c r="S81" s="22">
        <v>2608.1826403699833</v>
      </c>
      <c r="T81" s="22">
        <v>371031.85912977293</v>
      </c>
      <c r="U81" s="22">
        <v>128253.72734824847</v>
      </c>
      <c r="V81" s="22">
        <v>73498.550631894439</v>
      </c>
      <c r="W81" s="22">
        <v>53373.940486231149</v>
      </c>
      <c r="X81" s="30"/>
      <c r="Y81" s="22">
        <v>0</v>
      </c>
      <c r="Z81" s="22">
        <v>-65373.689239265201</v>
      </c>
      <c r="AA81" s="22">
        <v>-297764.7276061998</v>
      </c>
      <c r="AB81" s="22">
        <v>-510048.18727147859</v>
      </c>
    </row>
    <row r="82" spans="2:30" ht="14.25" x14ac:dyDescent="0.2">
      <c r="B82" s="5" t="s">
        <v>10</v>
      </c>
      <c r="C82" s="6" t="s">
        <v>11</v>
      </c>
      <c r="D82" s="5" t="s">
        <v>10</v>
      </c>
      <c r="E82" s="6" t="s">
        <v>11</v>
      </c>
      <c r="F82" s="21">
        <v>84157</v>
      </c>
      <c r="G82" s="22">
        <v>1851431.1316439372</v>
      </c>
      <c r="H82" s="22">
        <v>47342.259740840433</v>
      </c>
      <c r="I82" s="22">
        <v>-25418.530668299136</v>
      </c>
      <c r="J82" s="22">
        <v>2216750.4884475144</v>
      </c>
      <c r="K82" s="22">
        <v>1622931.0801988889</v>
      </c>
      <c r="L82" s="22">
        <v>353341.37789284595</v>
      </c>
      <c r="M82" s="22">
        <v>344156.20763878874</v>
      </c>
      <c r="N82" s="22">
        <v>287465.01599484356</v>
      </c>
      <c r="O82" s="22">
        <v>187106.56247007533</v>
      </c>
      <c r="P82" s="22">
        <v>67378.101889695172</v>
      </c>
      <c r="Q82" s="22">
        <v>6952483.6952491309</v>
      </c>
      <c r="R82" s="1"/>
      <c r="S82" s="23">
        <v>1685.4858979577459</v>
      </c>
      <c r="T82" s="23">
        <v>190094.91696704453</v>
      </c>
      <c r="U82" s="23">
        <v>95684.613129841295</v>
      </c>
      <c r="V82" s="23">
        <v>35050.849143543892</v>
      </c>
      <c r="W82" s="23">
        <v>32327.252746151284</v>
      </c>
      <c r="X82" s="30"/>
      <c r="Y82" s="23">
        <v>0</v>
      </c>
      <c r="Z82" s="23">
        <v>-43056.379924427485</v>
      </c>
      <c r="AA82" s="23">
        <v>-125750.98526707685</v>
      </c>
      <c r="AB82" s="23">
        <v>-216790.57801674149</v>
      </c>
    </row>
    <row r="83" spans="2:30" ht="14.25" x14ac:dyDescent="0.2">
      <c r="B83" s="3" t="s">
        <v>12</v>
      </c>
      <c r="C83" s="4" t="s">
        <v>13</v>
      </c>
      <c r="D83" s="3" t="s">
        <v>12</v>
      </c>
      <c r="E83" s="4" t="s">
        <v>13</v>
      </c>
      <c r="F83" s="25">
        <v>243794</v>
      </c>
      <c r="G83" s="23">
        <v>5363401.7527716272</v>
      </c>
      <c r="H83" s="23">
        <v>317937.551241062</v>
      </c>
      <c r="I83" s="23">
        <v>-34958.10268818176</v>
      </c>
      <c r="J83" s="23">
        <v>7034718.8172021033</v>
      </c>
      <c r="K83" s="23">
        <v>4176450.7071734369</v>
      </c>
      <c r="L83" s="23">
        <v>1283126.1482649967</v>
      </c>
      <c r="M83" s="23">
        <v>838041.68867924355</v>
      </c>
      <c r="N83" s="23">
        <v>892004.29377048137</v>
      </c>
      <c r="O83" s="23">
        <v>542028.08192817622</v>
      </c>
      <c r="P83" s="23">
        <v>205052.89670301392</v>
      </c>
      <c r="Q83" s="23">
        <v>20617803.835045956</v>
      </c>
      <c r="R83" s="1"/>
      <c r="S83" s="22">
        <v>19059.569690461663</v>
      </c>
      <c r="T83" s="22">
        <v>625683.30657660239</v>
      </c>
      <c r="U83" s="22">
        <v>247261.41750341735</v>
      </c>
      <c r="V83" s="22">
        <v>126334.03334844245</v>
      </c>
      <c r="W83" s="22">
        <v>78718.863354571469</v>
      </c>
      <c r="X83" s="30"/>
      <c r="Y83" s="22">
        <v>0</v>
      </c>
      <c r="Z83" s="22">
        <v>-70878.513152206942</v>
      </c>
      <c r="AA83" s="22">
        <v>-455825.79352262511</v>
      </c>
      <c r="AB83" s="22">
        <v>-498120.93099966063</v>
      </c>
    </row>
    <row r="84" spans="2:30" ht="14.25" x14ac:dyDescent="0.2">
      <c r="B84" s="5" t="s">
        <v>14</v>
      </c>
      <c r="C84" s="6" t="s">
        <v>15</v>
      </c>
      <c r="D84" s="5" t="s">
        <v>14</v>
      </c>
      <c r="E84" s="6" t="s">
        <v>15</v>
      </c>
      <c r="F84" s="21">
        <v>58879</v>
      </c>
      <c r="G84" s="22">
        <v>1295322.0005473499</v>
      </c>
      <c r="H84" s="22">
        <v>484994.87458308932</v>
      </c>
      <c r="I84" s="22">
        <v>-25222.358193829779</v>
      </c>
      <c r="J84" s="22">
        <v>1241990.0328779374</v>
      </c>
      <c r="K84" s="22">
        <v>1527024.1144486507</v>
      </c>
      <c r="L84" s="22">
        <v>180952.53593343135</v>
      </c>
      <c r="M84" s="22">
        <v>344925.25308661297</v>
      </c>
      <c r="N84" s="22">
        <v>226953.11926806351</v>
      </c>
      <c r="O84" s="22">
        <v>130905.89364729689</v>
      </c>
      <c r="P84" s="22">
        <v>50433.331144508971</v>
      </c>
      <c r="Q84" s="22">
        <v>5458278.7973431107</v>
      </c>
      <c r="R84" s="1"/>
      <c r="S84" s="23">
        <v>30401.764388076284</v>
      </c>
      <c r="T84" s="23">
        <v>100484.29453923064</v>
      </c>
      <c r="U84" s="23">
        <v>96067.060340756536</v>
      </c>
      <c r="V84" s="23">
        <v>18033.840484255656</v>
      </c>
      <c r="W84" s="23">
        <v>32399.490660253319</v>
      </c>
      <c r="X84" s="30"/>
      <c r="Y84" s="23">
        <v>0</v>
      </c>
      <c r="Z84" s="23">
        <v>-40480.893429234369</v>
      </c>
      <c r="AA84" s="23">
        <v>-67553.545510032025</v>
      </c>
      <c r="AB84" s="23">
        <v>-189214.24683291797</v>
      </c>
    </row>
    <row r="85" spans="2:30" ht="14.25" x14ac:dyDescent="0.2">
      <c r="B85" s="3" t="s">
        <v>16</v>
      </c>
      <c r="C85" s="4" t="s">
        <v>17</v>
      </c>
      <c r="D85" s="3" t="s">
        <v>18</v>
      </c>
      <c r="E85" s="4" t="s">
        <v>19</v>
      </c>
      <c r="F85" s="25">
        <v>26763</v>
      </c>
      <c r="G85" s="23">
        <v>588778.72757092898</v>
      </c>
      <c r="H85" s="23">
        <v>1726119.1255771422</v>
      </c>
      <c r="I85" s="23">
        <v>-12418.720478708987</v>
      </c>
      <c r="J85" s="23">
        <v>673176.13696614082</v>
      </c>
      <c r="K85" s="23">
        <v>500339.91825226671</v>
      </c>
      <c r="L85" s="23">
        <v>72385.543207818744</v>
      </c>
      <c r="M85" s="23">
        <v>99211.23003374078</v>
      </c>
      <c r="N85" s="23">
        <v>216662.92810174305</v>
      </c>
      <c r="O85" s="23">
        <v>59502.274693568274</v>
      </c>
      <c r="P85" s="23">
        <v>16557.661173433182</v>
      </c>
      <c r="Q85" s="23">
        <v>3940314.825098074</v>
      </c>
      <c r="R85" s="1"/>
      <c r="S85" s="22">
        <v>130702.20946416938</v>
      </c>
      <c r="T85" s="22">
        <v>53847.08388176802</v>
      </c>
      <c r="U85" s="22">
        <v>32113.634755805651</v>
      </c>
      <c r="V85" s="22">
        <v>7238.5600287475736</v>
      </c>
      <c r="W85" s="22">
        <v>9319.1011446856082</v>
      </c>
      <c r="X85" s="30"/>
      <c r="Y85" s="22">
        <v>-143434.10999999999</v>
      </c>
      <c r="Z85" s="22">
        <v>-19728.698456277943</v>
      </c>
      <c r="AA85" s="22">
        <v>-36512.550578338843</v>
      </c>
      <c r="AB85" s="22">
        <v>-42509.224059553446</v>
      </c>
    </row>
    <row r="86" spans="2:30" ht="14.25" x14ac:dyDescent="0.2">
      <c r="B86" s="5" t="s">
        <v>16</v>
      </c>
      <c r="C86" s="6" t="s">
        <v>17</v>
      </c>
      <c r="D86" s="5" t="s">
        <v>20</v>
      </c>
      <c r="E86" s="6" t="s">
        <v>15</v>
      </c>
      <c r="F86" s="21">
        <v>1489</v>
      </c>
      <c r="G86" s="22">
        <v>32757.595387404755</v>
      </c>
      <c r="H86" s="22">
        <v>110746.2178105694</v>
      </c>
      <c r="I86" s="22">
        <v>-586.70892388623952</v>
      </c>
      <c r="J86" s="22">
        <v>38973.527616417654</v>
      </c>
      <c r="K86" s="22">
        <v>18499.683766845043</v>
      </c>
      <c r="L86" s="22">
        <v>4341.7152588649242</v>
      </c>
      <c r="M86" s="22">
        <v>3058.0385856594776</v>
      </c>
      <c r="N86" s="22">
        <v>12220.513103581254</v>
      </c>
      <c r="O86" s="22">
        <v>3310.4990852566289</v>
      </c>
      <c r="P86" s="22">
        <v>721.41996293456634</v>
      </c>
      <c r="Q86" s="22">
        <v>224042.50165364746</v>
      </c>
      <c r="R86" s="1"/>
      <c r="S86" s="23">
        <v>8116.9265226372099</v>
      </c>
      <c r="T86" s="23">
        <v>3021.7398792351801</v>
      </c>
      <c r="U86" s="23">
        <v>1081.8467017088633</v>
      </c>
      <c r="V86" s="23">
        <v>434.17253263438715</v>
      </c>
      <c r="W86" s="23">
        <v>287.24743030017919</v>
      </c>
      <c r="X86" s="30"/>
      <c r="Y86" s="23">
        <v>-648.9</v>
      </c>
      <c r="Z86" s="23">
        <v>-952.518526222432</v>
      </c>
      <c r="AA86" s="23">
        <v>-1992.2002647281474</v>
      </c>
      <c r="AB86" s="23">
        <v>-1560.0701926148499</v>
      </c>
    </row>
    <row r="87" spans="2:30" ht="14.25" x14ac:dyDescent="0.2">
      <c r="B87" s="3" t="s">
        <v>16</v>
      </c>
      <c r="C87" s="4" t="s">
        <v>17</v>
      </c>
      <c r="D87" s="3" t="s">
        <v>21</v>
      </c>
      <c r="E87" s="4" t="s">
        <v>22</v>
      </c>
      <c r="F87" s="25">
        <v>26319</v>
      </c>
      <c r="G87" s="23">
        <v>579010.84822102461</v>
      </c>
      <c r="H87" s="23">
        <v>1599277.3828503613</v>
      </c>
      <c r="I87" s="23">
        <v>-11428.181891625092</v>
      </c>
      <c r="J87" s="23">
        <v>692133.36032545054</v>
      </c>
      <c r="K87" s="23">
        <v>493564.03053853224</v>
      </c>
      <c r="L87" s="23">
        <v>73404.642745882942</v>
      </c>
      <c r="M87" s="23">
        <v>97991.93144029408</v>
      </c>
      <c r="N87" s="23">
        <v>207384.64603285649</v>
      </c>
      <c r="O87" s="23">
        <v>58515.12788775636</v>
      </c>
      <c r="P87" s="23">
        <v>16545.055322365126</v>
      </c>
      <c r="Q87" s="23">
        <v>3806398.8434728985</v>
      </c>
      <c r="R87" s="1"/>
      <c r="S87" s="22">
        <v>120073.3072038721</v>
      </c>
      <c r="T87" s="22">
        <v>55627.004432975096</v>
      </c>
      <c r="U87" s="22">
        <v>31684.334396009312</v>
      </c>
      <c r="V87" s="22">
        <v>7340.4852334283296</v>
      </c>
      <c r="W87" s="22">
        <v>9204.5700889367963</v>
      </c>
      <c r="X87" s="30"/>
      <c r="Y87" s="22">
        <v>-296730.98</v>
      </c>
      <c r="Z87" s="22">
        <v>-18309.089486393394</v>
      </c>
      <c r="AA87" s="22">
        <v>-32981.398190019958</v>
      </c>
      <c r="AB87" s="22">
        <v>-42036.919590914848</v>
      </c>
    </row>
    <row r="88" spans="2:30" ht="14.25" x14ac:dyDescent="0.2">
      <c r="B88" s="5" t="s">
        <v>16</v>
      </c>
      <c r="C88" s="6" t="s">
        <v>17</v>
      </c>
      <c r="D88" s="5" t="s">
        <v>23</v>
      </c>
      <c r="E88" s="6" t="s">
        <v>24</v>
      </c>
      <c r="F88" s="21">
        <v>6521</v>
      </c>
      <c r="G88" s="22">
        <v>143460.22801965507</v>
      </c>
      <c r="H88" s="22">
        <v>474241.84712018148</v>
      </c>
      <c r="I88" s="22">
        <v>-2892.7700188330964</v>
      </c>
      <c r="J88" s="22">
        <v>176994.76827047556</v>
      </c>
      <c r="K88" s="22">
        <v>188431.84070760751</v>
      </c>
      <c r="L88" s="22">
        <v>18986.312201644716</v>
      </c>
      <c r="M88" s="22">
        <v>43163.341238937763</v>
      </c>
      <c r="N88" s="22">
        <v>63855.097013676714</v>
      </c>
      <c r="O88" s="22">
        <v>14498.162884458343</v>
      </c>
      <c r="P88" s="22">
        <v>5953.0469067143877</v>
      </c>
      <c r="Q88" s="22">
        <v>1126691.8743445186</v>
      </c>
      <c r="R88" s="1"/>
      <c r="S88" s="23">
        <v>37365.992685304402</v>
      </c>
      <c r="T88" s="23">
        <v>14329.027627182972</v>
      </c>
      <c r="U88" s="23">
        <v>12160.076701189344</v>
      </c>
      <c r="V88" s="23">
        <v>1898.6314679435823</v>
      </c>
      <c r="W88" s="23">
        <v>4054.4154387708054</v>
      </c>
      <c r="X88" s="30"/>
      <c r="Y88" s="23">
        <v>-2875.25</v>
      </c>
      <c r="Z88" s="23">
        <v>-4621.662220826106</v>
      </c>
      <c r="AA88" s="23">
        <v>-8999.1434970914543</v>
      </c>
      <c r="AB88" s="23">
        <v>-22076.518327866674</v>
      </c>
    </row>
    <row r="89" spans="2:30" ht="14.25" x14ac:dyDescent="0.2">
      <c r="B89" s="3" t="s">
        <v>16</v>
      </c>
      <c r="C89" s="4" t="s">
        <v>17</v>
      </c>
      <c r="D89" s="3" t="s">
        <v>25</v>
      </c>
      <c r="E89" s="4" t="s">
        <v>26</v>
      </c>
      <c r="F89" s="25">
        <v>1933</v>
      </c>
      <c r="G89" s="23">
        <v>42525.474737309181</v>
      </c>
      <c r="H89" s="23">
        <v>139258.94130588276</v>
      </c>
      <c r="I89" s="23">
        <v>-964.72112685530976</v>
      </c>
      <c r="J89" s="23">
        <v>49152.219320712597</v>
      </c>
      <c r="K89" s="23">
        <v>36428.815432968753</v>
      </c>
      <c r="L89" s="23">
        <v>4953.226276793529</v>
      </c>
      <c r="M89" s="23">
        <v>7254.6328306862406</v>
      </c>
      <c r="N89" s="23">
        <v>16811.700158290689</v>
      </c>
      <c r="O89" s="23">
        <v>4297.6458910685451</v>
      </c>
      <c r="P89" s="23">
        <v>1176.7642325032209</v>
      </c>
      <c r="Q89" s="23">
        <v>300894.69905936014</v>
      </c>
      <c r="R89" s="1"/>
      <c r="S89" s="22">
        <v>10579.482105949653</v>
      </c>
      <c r="T89" s="22">
        <v>3896.5731613375201</v>
      </c>
      <c r="U89" s="22">
        <v>2335.6448910035174</v>
      </c>
      <c r="V89" s="22">
        <v>495.32265483374158</v>
      </c>
      <c r="W89" s="22">
        <v>681.4415776694791</v>
      </c>
      <c r="X89" s="30"/>
      <c r="Y89" s="22">
        <v>-861.7</v>
      </c>
      <c r="Z89" s="22">
        <v>-1519.2807632573613</v>
      </c>
      <c r="AA89" s="22">
        <v>-2580.6127470680499</v>
      </c>
      <c r="AB89" s="22">
        <v>-3145.7808572066174</v>
      </c>
    </row>
    <row r="90" spans="2:30" ht="14.25" x14ac:dyDescent="0.2">
      <c r="B90" s="5" t="s">
        <v>27</v>
      </c>
      <c r="C90" s="6" t="s">
        <v>24</v>
      </c>
      <c r="D90" s="5" t="s">
        <v>27</v>
      </c>
      <c r="E90" s="6" t="s">
        <v>24</v>
      </c>
      <c r="F90" s="21">
        <v>15550</v>
      </c>
      <c r="G90" s="22">
        <v>342095.77452931099</v>
      </c>
      <c r="H90" s="22">
        <v>85033.765159754883</v>
      </c>
      <c r="I90" s="22">
        <v>-8093.3245004614246</v>
      </c>
      <c r="J90" s="22">
        <v>407739.72048719955</v>
      </c>
      <c r="K90" s="22">
        <v>360968.55891795055</v>
      </c>
      <c r="L90" s="22">
        <v>46393.056480954219</v>
      </c>
      <c r="M90" s="22">
        <v>79497.720780047224</v>
      </c>
      <c r="N90" s="22">
        <v>59576.682946715286</v>
      </c>
      <c r="O90" s="22">
        <v>34572.371239583998</v>
      </c>
      <c r="P90" s="22">
        <v>12072.903000117822</v>
      </c>
      <c r="Q90" s="22">
        <v>1419857.2290411729</v>
      </c>
      <c r="R90" s="1"/>
      <c r="S90" s="23">
        <v>4247.3927898165348</v>
      </c>
      <c r="T90" s="23">
        <v>32940.002297543957</v>
      </c>
      <c r="U90" s="23">
        <v>22389.287859354794</v>
      </c>
      <c r="V90" s="23">
        <v>4605.5295942112543</v>
      </c>
      <c r="W90" s="23">
        <v>7467.3734059065682</v>
      </c>
      <c r="X90" s="30"/>
      <c r="Y90" s="23">
        <v>0</v>
      </c>
      <c r="Z90" s="23">
        <v>-12684.984098093273</v>
      </c>
      <c r="AA90" s="23">
        <v>-25162.632706869081</v>
      </c>
      <c r="AB90" s="23">
        <v>-44478.398968255424</v>
      </c>
    </row>
    <row r="91" spans="2:30" ht="14.25" x14ac:dyDescent="0.2">
      <c r="B91" s="3" t="s">
        <v>28</v>
      </c>
      <c r="C91" s="4" t="s">
        <v>26</v>
      </c>
      <c r="D91" s="3" t="s">
        <v>28</v>
      </c>
      <c r="E91" s="4" t="s">
        <v>26</v>
      </c>
      <c r="F91" s="25">
        <v>25680</v>
      </c>
      <c r="G91" s="23">
        <v>564953.02185933792</v>
      </c>
      <c r="H91" s="23">
        <v>82737.107157375998</v>
      </c>
      <c r="I91" s="23">
        <v>-5000.9208279605064</v>
      </c>
      <c r="J91" s="23">
        <v>698158.96840110119</v>
      </c>
      <c r="K91" s="23">
        <v>423328.11477604602</v>
      </c>
      <c r="L91" s="23">
        <v>94367.367946732149</v>
      </c>
      <c r="M91" s="23">
        <v>82859.035843804493</v>
      </c>
      <c r="N91" s="23">
        <v>90269.433585265142</v>
      </c>
      <c r="O91" s="23">
        <v>57094.436876689208</v>
      </c>
      <c r="P91" s="23">
        <v>17160.618512403114</v>
      </c>
      <c r="Q91" s="23">
        <v>2105927.1841307948</v>
      </c>
      <c r="R91" s="1"/>
      <c r="S91" s="22">
        <v>3847.8590054655215</v>
      </c>
      <c r="T91" s="22">
        <v>61133.55281119531</v>
      </c>
      <c r="U91" s="22">
        <v>25288.021768604318</v>
      </c>
      <c r="V91" s="22">
        <v>9377.5103348617631</v>
      </c>
      <c r="W91" s="22">
        <v>7783.1081775413531</v>
      </c>
      <c r="X91" s="30"/>
      <c r="Y91" s="22">
        <v>0</v>
      </c>
      <c r="Z91" s="22">
        <v>-9301.938179314262</v>
      </c>
      <c r="AA91" s="22">
        <v>-40141.490429129233</v>
      </c>
      <c r="AB91" s="22">
        <v>-46722.704230570438</v>
      </c>
    </row>
    <row r="92" spans="2:30" ht="14.25" x14ac:dyDescent="0.2">
      <c r="B92" s="5" t="s">
        <v>29</v>
      </c>
      <c r="C92" s="6" t="s">
        <v>30</v>
      </c>
      <c r="D92" s="5" t="s">
        <v>29</v>
      </c>
      <c r="E92" s="6" t="s">
        <v>30</v>
      </c>
      <c r="F92" s="21">
        <v>22074</v>
      </c>
      <c r="G92" s="22">
        <v>485622.00173376244</v>
      </c>
      <c r="H92" s="22">
        <v>157717.10081529227</v>
      </c>
      <c r="I92" s="22">
        <v>-9624.7617078484436</v>
      </c>
      <c r="J92" s="22">
        <v>478583.06058048498</v>
      </c>
      <c r="K92" s="22">
        <v>516287.14163051744</v>
      </c>
      <c r="L92" s="22">
        <v>38970.268815572963</v>
      </c>
      <c r="M92" s="22">
        <v>112876.35997092837</v>
      </c>
      <c r="N92" s="22">
        <v>76290.393879006442</v>
      </c>
      <c r="O92" s="22">
        <v>49077.204034892442</v>
      </c>
      <c r="P92" s="22">
        <v>14473.251829440949</v>
      </c>
      <c r="Q92" s="22">
        <v>1920272.0215820498</v>
      </c>
      <c r="R92" s="1"/>
      <c r="S92" s="23">
        <v>8364.45962858251</v>
      </c>
      <c r="T92" s="23">
        <v>35380.356173220229</v>
      </c>
      <c r="U92" s="23">
        <v>32545.578077203711</v>
      </c>
      <c r="V92" s="23">
        <v>3870.5588172156163</v>
      </c>
      <c r="W92" s="23">
        <v>10602.693012225332</v>
      </c>
      <c r="X92" s="30"/>
      <c r="Y92" s="23">
        <v>0</v>
      </c>
      <c r="Z92" s="23">
        <v>-15411.474458855237</v>
      </c>
      <c r="AA92" s="23">
        <v>-37542.693809462202</v>
      </c>
      <c r="AB92" s="23">
        <v>-59369.602750523729</v>
      </c>
    </row>
    <row r="93" spans="2:30" ht="14.25" x14ac:dyDescent="0.2">
      <c r="B93" s="3" t="s">
        <v>31</v>
      </c>
      <c r="C93" s="4" t="s">
        <v>32</v>
      </c>
      <c r="D93" s="3" t="s">
        <v>31</v>
      </c>
      <c r="E93" s="4" t="s">
        <v>33</v>
      </c>
      <c r="F93" s="25">
        <v>23695</v>
      </c>
      <c r="G93" s="23">
        <v>521283.56125221989</v>
      </c>
      <c r="H93" s="23">
        <v>273809.06590697728</v>
      </c>
      <c r="I93" s="23">
        <v>-14590.239255081622</v>
      </c>
      <c r="J93" s="23">
        <v>550297.45307709184</v>
      </c>
      <c r="K93" s="23">
        <v>609459.36463718256</v>
      </c>
      <c r="L93" s="23">
        <v>58894.99803556886</v>
      </c>
      <c r="M93" s="23">
        <v>136823.13649403676</v>
      </c>
      <c r="N93" s="23">
        <v>97565.945172484091</v>
      </c>
      <c r="O93" s="23">
        <v>52681.179197552592</v>
      </c>
      <c r="P93" s="23">
        <v>18624.048945581337</v>
      </c>
      <c r="Q93" s="23">
        <v>2304848.5134636136</v>
      </c>
      <c r="R93" s="1"/>
      <c r="S93" s="22">
        <v>14553.767652789003</v>
      </c>
      <c r="T93" s="22">
        <v>44419.872903968964</v>
      </c>
      <c r="U93" s="22">
        <v>38592.304615726112</v>
      </c>
      <c r="V93" s="22">
        <v>5771.9892796804706</v>
      </c>
      <c r="W93" s="22">
        <v>12852.059665900872</v>
      </c>
      <c r="X93" s="30"/>
      <c r="Y93" s="22">
        <v>0</v>
      </c>
      <c r="Z93" s="22">
        <v>-22472.762778340977</v>
      </c>
      <c r="AA93" s="22">
        <v>-45338.791381975192</v>
      </c>
      <c r="AB93" s="22">
        <v>-72981.4500824016</v>
      </c>
    </row>
    <row r="94" spans="2:30" ht="14.25" x14ac:dyDescent="0.2">
      <c r="B94" s="5" t="s">
        <v>34</v>
      </c>
      <c r="C94" s="6" t="s">
        <v>35</v>
      </c>
      <c r="D94" s="5" t="s">
        <v>34</v>
      </c>
      <c r="E94" s="6" t="s">
        <v>35</v>
      </c>
      <c r="F94" s="21">
        <v>3207</v>
      </c>
      <c r="G94" s="22">
        <v>70553.128547620567</v>
      </c>
      <c r="H94" s="22">
        <v>32730.477303530086</v>
      </c>
      <c r="I94" s="22">
        <v>-1985.3873881331563</v>
      </c>
      <c r="J94" s="22">
        <v>83026.012395274447</v>
      </c>
      <c r="K94" s="22">
        <v>86902.80323515358</v>
      </c>
      <c r="L94" s="22">
        <v>9972.273635980464</v>
      </c>
      <c r="M94" s="22">
        <v>19537.418989327158</v>
      </c>
      <c r="N94" s="22">
        <v>14355.197465622161</v>
      </c>
      <c r="O94" s="22">
        <v>7130.1346987360712</v>
      </c>
      <c r="P94" s="22">
        <v>2800.3211950040377</v>
      </c>
      <c r="Q94" s="22">
        <v>325022.38007811538</v>
      </c>
      <c r="R94" s="1"/>
      <c r="S94" s="23">
        <v>1727.6396108509141</v>
      </c>
      <c r="T94" s="23">
        <v>7002.4855891961088</v>
      </c>
      <c r="U94" s="23">
        <v>5625.0722655751406</v>
      </c>
      <c r="V94" s="23">
        <v>965.13395253440638</v>
      </c>
      <c r="W94" s="23">
        <v>1835.1872424696314</v>
      </c>
      <c r="X94" s="30"/>
      <c r="Y94" s="23">
        <v>0</v>
      </c>
      <c r="Z94" s="23">
        <v>-3056.4344244288977</v>
      </c>
      <c r="AA94" s="23">
        <v>-7584.0958809519825</v>
      </c>
      <c r="AB94" s="23">
        <v>-9660.8730133142653</v>
      </c>
    </row>
    <row r="95" spans="2:30" ht="14.25" x14ac:dyDescent="0.2">
      <c r="B95" s="7" t="s">
        <v>36</v>
      </c>
      <c r="C95" s="8"/>
      <c r="D95" s="7"/>
      <c r="E95" s="8"/>
      <c r="F95" s="26">
        <v>917219</v>
      </c>
      <c r="G95" s="24">
        <v>20178568.759999994</v>
      </c>
      <c r="H95" s="24">
        <v>6280213.5079999994</v>
      </c>
      <c r="I95" s="24">
        <v>-264861</v>
      </c>
      <c r="J95" s="24">
        <v>25321343.259999994</v>
      </c>
      <c r="K95" s="24">
        <v>17755642.580000006</v>
      </c>
      <c r="L95" s="24">
        <v>3937464.0000000014</v>
      </c>
      <c r="M95" s="24">
        <v>3767483.0000000014</v>
      </c>
      <c r="N95" s="24">
        <v>3648933.864669438</v>
      </c>
      <c r="O95" s="24">
        <v>2039256.3199999996</v>
      </c>
      <c r="P95" s="24">
        <v>742163.06000000029</v>
      </c>
      <c r="Q95" s="24">
        <v>83406207.352669433</v>
      </c>
      <c r="R95" s="1"/>
      <c r="S95" s="24">
        <v>440367.9666694373</v>
      </c>
      <c r="T95" s="24">
        <v>2160000.7100000004</v>
      </c>
      <c r="U95" s="24">
        <v>1048565.1880000004</v>
      </c>
      <c r="V95" s="24">
        <v>388276.15500000009</v>
      </c>
      <c r="W95" s="24">
        <v>353886.90499999997</v>
      </c>
      <c r="X95" s="1"/>
      <c r="Y95" s="24">
        <v>-444550.94</v>
      </c>
      <c r="Z95" s="24">
        <v>-452317.99999999994</v>
      </c>
      <c r="AA95" s="24">
        <v>-1683030.5000000002</v>
      </c>
      <c r="AB95" s="24">
        <v>-2363296.0000000005</v>
      </c>
      <c r="AD95" s="34"/>
    </row>
    <row r="97" spans="2:28" ht="25.5" x14ac:dyDescent="0.2">
      <c r="B97" s="29">
        <v>2024</v>
      </c>
      <c r="C97" s="2" t="s">
        <v>1</v>
      </c>
      <c r="D97" s="2" t="s">
        <v>2</v>
      </c>
      <c r="E97" s="2" t="s">
        <v>3</v>
      </c>
      <c r="F97" s="2" t="s">
        <v>88</v>
      </c>
      <c r="G97" s="2" t="s">
        <v>89</v>
      </c>
      <c r="H97" s="2" t="s">
        <v>44</v>
      </c>
      <c r="I97" s="2" t="s">
        <v>45</v>
      </c>
      <c r="J97" s="2" t="s">
        <v>46</v>
      </c>
      <c r="K97" s="2" t="s">
        <v>47</v>
      </c>
      <c r="L97" s="2" t="s">
        <v>90</v>
      </c>
      <c r="M97" s="2" t="s">
        <v>91</v>
      </c>
      <c r="N97" s="2" t="s">
        <v>92</v>
      </c>
      <c r="O97" s="2" t="s">
        <v>93</v>
      </c>
      <c r="P97" s="2" t="s">
        <v>94</v>
      </c>
      <c r="Q97" s="2" t="s">
        <v>95</v>
      </c>
      <c r="R97" s="1"/>
      <c r="S97" s="2" t="s">
        <v>96</v>
      </c>
      <c r="T97" s="2" t="s">
        <v>97</v>
      </c>
      <c r="U97" s="2" t="s">
        <v>98</v>
      </c>
      <c r="V97" s="2" t="s">
        <v>99</v>
      </c>
      <c r="W97" s="2" t="s">
        <v>100</v>
      </c>
      <c r="X97" s="1"/>
      <c r="Y97" s="2" t="s">
        <v>101</v>
      </c>
      <c r="Z97" s="2" t="s">
        <v>102</v>
      </c>
      <c r="AA97" s="2" t="s">
        <v>103</v>
      </c>
      <c r="AB97" s="2" t="s">
        <v>104</v>
      </c>
    </row>
    <row r="98" spans="2:28" ht="14.25" x14ac:dyDescent="0.2">
      <c r="B98" s="3" t="s">
        <v>4</v>
      </c>
      <c r="C98" s="4" t="s">
        <v>5</v>
      </c>
      <c r="D98" s="3" t="s">
        <v>4</v>
      </c>
      <c r="E98" s="4" t="s">
        <v>5</v>
      </c>
      <c r="F98" s="25">
        <v>30632</v>
      </c>
      <c r="G98" s="23">
        <v>499971.9398362675</v>
      </c>
      <c r="H98" s="23">
        <v>37805.885769519613</v>
      </c>
      <c r="I98" s="23">
        <v>-12765.483056259038</v>
      </c>
      <c r="J98" s="23">
        <v>910424.50753901259</v>
      </c>
      <c r="K98" s="23">
        <v>772184.00740200398</v>
      </c>
      <c r="L98" s="23">
        <v>141407.3120401428</v>
      </c>
      <c r="M98" s="23">
        <v>181375.82705685153</v>
      </c>
      <c r="N98" s="23">
        <v>142897.14184957783</v>
      </c>
      <c r="O98" s="23">
        <v>15922.001998402127</v>
      </c>
      <c r="P98" s="23">
        <v>30808.324380219172</v>
      </c>
      <c r="Q98" s="23">
        <v>2720031.4648157381</v>
      </c>
      <c r="R98" s="1"/>
      <c r="S98" s="22">
        <v>2707.3311230227205</v>
      </c>
      <c r="T98" s="22">
        <v>76004.137512587025</v>
      </c>
      <c r="U98" s="22">
        <v>64185.673213968097</v>
      </c>
      <c r="V98" s="22">
        <v>13776.959636760994</v>
      </c>
      <c r="W98" s="22">
        <v>17031.364743458176</v>
      </c>
      <c r="X98" s="1"/>
      <c r="Y98" s="22">
        <v>0</v>
      </c>
      <c r="Z98" s="22">
        <v>-20672.356616010646</v>
      </c>
      <c r="AA98" s="22">
        <v>-71771.720766267666</v>
      </c>
      <c r="AB98" s="22">
        <v>-108928.83144016119</v>
      </c>
    </row>
    <row r="99" spans="2:28" ht="14.25" x14ac:dyDescent="0.2">
      <c r="B99" s="5" t="s">
        <v>6</v>
      </c>
      <c r="C99" s="6" t="s">
        <v>7</v>
      </c>
      <c r="D99" s="5" t="s">
        <v>6</v>
      </c>
      <c r="E99" s="6" t="s">
        <v>7</v>
      </c>
      <c r="F99" s="21">
        <v>205024</v>
      </c>
      <c r="G99" s="22">
        <v>3253598.0296696597</v>
      </c>
      <c r="H99" s="22">
        <v>352303.38829903479</v>
      </c>
      <c r="I99" s="22">
        <v>-61022.92775518063</v>
      </c>
      <c r="J99" s="22">
        <v>5958354.1607276993</v>
      </c>
      <c r="K99" s="22">
        <v>4412916.6467064731</v>
      </c>
      <c r="L99" s="22">
        <v>964773.69205041858</v>
      </c>
      <c r="M99" s="22">
        <v>947126.14897939051</v>
      </c>
      <c r="N99" s="22">
        <v>912123.14618639846</v>
      </c>
      <c r="O99" s="22">
        <v>106568.05098329845</v>
      </c>
      <c r="P99" s="22">
        <v>183774.58071162773</v>
      </c>
      <c r="Q99" s="22">
        <v>17030514.916558821</v>
      </c>
      <c r="R99" s="1"/>
      <c r="S99" s="23">
        <v>22881.420928941676</v>
      </c>
      <c r="T99" s="23">
        <v>497049.69069079775</v>
      </c>
      <c r="U99" s="23">
        <v>392192.0345666589</v>
      </c>
      <c r="V99" s="23">
        <v>94838.52366870793</v>
      </c>
      <c r="W99" s="23">
        <v>88936.057042919812</v>
      </c>
      <c r="X99" s="1"/>
      <c r="Y99" s="23">
        <v>0</v>
      </c>
      <c r="Z99" s="23">
        <v>-104171.12692665673</v>
      </c>
      <c r="AA99" s="23">
        <v>-426097.51608210691</v>
      </c>
      <c r="AB99" s="23">
        <v>-496193.36155534058</v>
      </c>
    </row>
    <row r="100" spans="2:28" ht="14.25" x14ac:dyDescent="0.2">
      <c r="B100" s="3" t="s">
        <v>8</v>
      </c>
      <c r="C100" s="4" t="s">
        <v>9</v>
      </c>
      <c r="D100" s="3" t="s">
        <v>8</v>
      </c>
      <c r="E100" s="4" t="s">
        <v>9</v>
      </c>
      <c r="F100" s="25">
        <v>142634</v>
      </c>
      <c r="G100" s="23">
        <v>1983741.4751667981</v>
      </c>
      <c r="H100" s="23">
        <v>58157.066607046996</v>
      </c>
      <c r="I100" s="23">
        <v>-37524.717306820137</v>
      </c>
      <c r="J100" s="23">
        <v>4363720.9589234032</v>
      </c>
      <c r="K100" s="23">
        <v>2861503.9409969589</v>
      </c>
      <c r="L100" s="23">
        <v>866012.56826923194</v>
      </c>
      <c r="M100" s="23">
        <v>647148.11407193833</v>
      </c>
      <c r="N100" s="23">
        <v>616604.4397431683</v>
      </c>
      <c r="O100" s="23">
        <v>74138.770992429156</v>
      </c>
      <c r="P100" s="23">
        <v>146071.46707080954</v>
      </c>
      <c r="Q100" s="23">
        <v>11579574.084534965</v>
      </c>
      <c r="R100" s="1"/>
      <c r="S100" s="22">
        <v>1573.3606562840448</v>
      </c>
      <c r="T100" s="22">
        <v>378882.25546783197</v>
      </c>
      <c r="U100" s="22">
        <v>236148.82361905227</v>
      </c>
      <c r="V100" s="22">
        <v>85303.636248758965</v>
      </c>
      <c r="W100" s="22">
        <v>60767.830822050593</v>
      </c>
      <c r="X100" s="1"/>
      <c r="Y100" s="22">
        <v>0</v>
      </c>
      <c r="Z100" s="22">
        <v>-65570.030916279968</v>
      </c>
      <c r="AA100" s="22">
        <v>-298116.91872385889</v>
      </c>
      <c r="AB100" s="22">
        <v>-510173.29837644933</v>
      </c>
    </row>
    <row r="101" spans="2:28" ht="14.25" x14ac:dyDescent="0.2">
      <c r="B101" s="5" t="s">
        <v>10</v>
      </c>
      <c r="C101" s="6" t="s">
        <v>11</v>
      </c>
      <c r="D101" s="5" t="s">
        <v>10</v>
      </c>
      <c r="E101" s="6" t="s">
        <v>11</v>
      </c>
      <c r="F101" s="21">
        <v>84410</v>
      </c>
      <c r="G101" s="22">
        <v>1150865.0605325087</v>
      </c>
      <c r="H101" s="22">
        <v>36441.040158509393</v>
      </c>
      <c r="I101" s="22">
        <v>-25336.256164968261</v>
      </c>
      <c r="J101" s="22">
        <v>2264358.9827318382</v>
      </c>
      <c r="K101" s="22">
        <v>1810179.8920089221</v>
      </c>
      <c r="L101" s="22">
        <v>410860.64238012786</v>
      </c>
      <c r="M101" s="22">
        <v>391504.49399394536</v>
      </c>
      <c r="N101" s="22">
        <v>354440.56619194109</v>
      </c>
      <c r="O101" s="22">
        <v>43874.908222940838</v>
      </c>
      <c r="P101" s="22">
        <v>77523.852490625752</v>
      </c>
      <c r="Q101" s="22">
        <v>6514713.1825463912</v>
      </c>
      <c r="R101" s="1"/>
      <c r="S101" s="23">
        <v>995.27397825517357</v>
      </c>
      <c r="T101" s="23">
        <v>193974.0190563027</v>
      </c>
      <c r="U101" s="23">
        <v>159471.27315738323</v>
      </c>
      <c r="V101" s="23">
        <v>40761.203662985114</v>
      </c>
      <c r="W101" s="23">
        <v>36762.648827640638</v>
      </c>
      <c r="X101" s="1"/>
      <c r="Y101" s="23">
        <v>0</v>
      </c>
      <c r="Z101" s="23">
        <v>-43185.850257893304</v>
      </c>
      <c r="AA101" s="23">
        <v>-125934.10220913139</v>
      </c>
      <c r="AB101" s="23">
        <v>-216736.27986446887</v>
      </c>
    </row>
    <row r="102" spans="2:28" ht="14.25" x14ac:dyDescent="0.2">
      <c r="B102" s="3" t="s">
        <v>12</v>
      </c>
      <c r="C102" s="4" t="s">
        <v>13</v>
      </c>
      <c r="D102" s="3" t="s">
        <v>12</v>
      </c>
      <c r="E102" s="4" t="s">
        <v>13</v>
      </c>
      <c r="F102" s="25">
        <v>244526</v>
      </c>
      <c r="G102" s="23">
        <v>3075612.5558379623</v>
      </c>
      <c r="H102" s="23">
        <v>200063.53813270514</v>
      </c>
      <c r="I102" s="23">
        <v>-34822.526362889024</v>
      </c>
      <c r="J102" s="23">
        <v>7189316.0705331201</v>
      </c>
      <c r="K102" s="23">
        <v>4708668.9838425089</v>
      </c>
      <c r="L102" s="23">
        <v>1490131.4694781166</v>
      </c>
      <c r="M102" s="23">
        <v>954668.34925665555</v>
      </c>
      <c r="N102" s="23">
        <v>1080428.2239000394</v>
      </c>
      <c r="O102" s="23">
        <v>127100.53083903367</v>
      </c>
      <c r="P102" s="23">
        <v>236388.48565779687</v>
      </c>
      <c r="Q102" s="23">
        <v>19027555.68111505</v>
      </c>
      <c r="R102" s="1"/>
      <c r="S102" s="22">
        <v>10454.796646824874</v>
      </c>
      <c r="T102" s="22">
        <v>638593.25802249857</v>
      </c>
      <c r="U102" s="22">
        <v>431380.16923071595</v>
      </c>
      <c r="V102" s="22">
        <v>146744.20874911707</v>
      </c>
      <c r="W102" s="22">
        <v>89644.276908679807</v>
      </c>
      <c r="X102" s="1"/>
      <c r="Y102" s="22">
        <v>0</v>
      </c>
      <c r="Z102" s="22">
        <v>-71091.378648946935</v>
      </c>
      <c r="AA102" s="22">
        <v>-456379.05317159795</v>
      </c>
      <c r="AB102" s="22">
        <v>-498367.60523203318</v>
      </c>
    </row>
    <row r="103" spans="2:28" ht="14.25" x14ac:dyDescent="0.2">
      <c r="B103" s="5" t="s">
        <v>14</v>
      </c>
      <c r="C103" s="6" t="s">
        <v>15</v>
      </c>
      <c r="D103" s="5" t="s">
        <v>14</v>
      </c>
      <c r="E103" s="6" t="s">
        <v>15</v>
      </c>
      <c r="F103" s="21">
        <v>59057</v>
      </c>
      <c r="G103" s="22">
        <v>925000.10136532097</v>
      </c>
      <c r="H103" s="22">
        <v>259157.52431414285</v>
      </c>
      <c r="I103" s="22">
        <v>-25145.432331308923</v>
      </c>
      <c r="J103" s="22">
        <v>1267610.4333356789</v>
      </c>
      <c r="K103" s="22">
        <v>1662217.2048650531</v>
      </c>
      <c r="L103" s="22">
        <v>210142.4429759809</v>
      </c>
      <c r="M103" s="22">
        <v>390772.54911128833</v>
      </c>
      <c r="N103" s="22">
        <v>259386.40302159206</v>
      </c>
      <c r="O103" s="22">
        <v>30696.842257104814</v>
      </c>
      <c r="P103" s="22">
        <v>57637.737720623198</v>
      </c>
      <c r="Q103" s="22">
        <v>5037475.8066354766</v>
      </c>
      <c r="R103" s="1"/>
      <c r="S103" s="23">
        <v>15913.771666671519</v>
      </c>
      <c r="T103" s="23">
        <v>102532.0113410518</v>
      </c>
      <c r="U103" s="23">
        <v>140940.62001386876</v>
      </c>
      <c r="V103" s="23">
        <v>20943.819221995655</v>
      </c>
      <c r="W103" s="23">
        <v>36693.918498627543</v>
      </c>
      <c r="X103" s="1"/>
      <c r="Y103" s="23">
        <v>0</v>
      </c>
      <c r="Z103" s="23">
        <v>-40603.301928758301</v>
      </c>
      <c r="AA103" s="23">
        <v>-67670.898870183257</v>
      </c>
      <c r="AB103" s="23">
        <v>-188702.273827303</v>
      </c>
    </row>
    <row r="104" spans="2:28" ht="14.25" x14ac:dyDescent="0.2">
      <c r="B104" s="3" t="s">
        <v>16</v>
      </c>
      <c r="C104" s="4" t="s">
        <v>17</v>
      </c>
      <c r="D104" s="3" t="s">
        <v>18</v>
      </c>
      <c r="E104" s="4" t="s">
        <v>19</v>
      </c>
      <c r="F104" s="25">
        <v>26847</v>
      </c>
      <c r="G104" s="23">
        <v>522569.07294873631</v>
      </c>
      <c r="H104" s="23">
        <v>1756904.3777007866</v>
      </c>
      <c r="I104" s="23">
        <v>-12382.658681351641</v>
      </c>
      <c r="J104" s="23">
        <v>687753.64694330271</v>
      </c>
      <c r="K104" s="23">
        <v>559102.7275181585</v>
      </c>
      <c r="L104" s="23">
        <v>84617.296614324674</v>
      </c>
      <c r="M104" s="23">
        <v>112900.60775222197</v>
      </c>
      <c r="N104" s="23">
        <v>241674.04469811509</v>
      </c>
      <c r="O104" s="23">
        <v>13954.622213734068</v>
      </c>
      <c r="P104" s="23">
        <v>19063.203655229056</v>
      </c>
      <c r="Q104" s="23">
        <v>3986156.9413632569</v>
      </c>
      <c r="R104" s="1"/>
      <c r="S104" s="22">
        <v>134382.05022171725</v>
      </c>
      <c r="T104" s="22">
        <v>54944.468418601449</v>
      </c>
      <c r="U104" s="22">
        <v>52347.526057796378</v>
      </c>
      <c r="V104" s="22">
        <v>8461.7279151157745</v>
      </c>
      <c r="W104" s="22">
        <v>10601.475740113285</v>
      </c>
      <c r="X104" s="1"/>
      <c r="Y104" s="22">
        <v>-146199.94999999998</v>
      </c>
      <c r="Z104" s="22">
        <v>-19790.634162854611</v>
      </c>
      <c r="AA104" s="22">
        <v>-36578.284486839497</v>
      </c>
      <c r="AB104" s="22">
        <v>-42506.350225257935</v>
      </c>
    </row>
    <row r="105" spans="2:28" ht="14.25" x14ac:dyDescent="0.2">
      <c r="B105" s="5" t="s">
        <v>16</v>
      </c>
      <c r="C105" s="6" t="s">
        <v>17</v>
      </c>
      <c r="D105" s="5" t="s">
        <v>20</v>
      </c>
      <c r="E105" s="6" t="s">
        <v>15</v>
      </c>
      <c r="F105" s="21">
        <v>1493</v>
      </c>
      <c r="G105" s="22">
        <v>32447.323242080383</v>
      </c>
      <c r="H105" s="22">
        <v>111302.26545580766</v>
      </c>
      <c r="I105" s="22">
        <v>-584.70236045029174</v>
      </c>
      <c r="J105" s="22">
        <v>39859.168188434196</v>
      </c>
      <c r="K105" s="22">
        <v>21530.249772560011</v>
      </c>
      <c r="L105" s="22">
        <v>5054.1362373192533</v>
      </c>
      <c r="M105" s="22">
        <v>3479.3468567080618</v>
      </c>
      <c r="N105" s="22">
        <v>13611.540464421103</v>
      </c>
      <c r="O105" s="22">
        <v>776.03646459958156</v>
      </c>
      <c r="P105" s="22">
        <v>832.12711455650299</v>
      </c>
      <c r="Q105" s="22">
        <v>228307.49143603645</v>
      </c>
      <c r="R105" s="1"/>
      <c r="S105" s="23">
        <v>8334.1265858268416</v>
      </c>
      <c r="T105" s="23">
        <v>3086.4309107008939</v>
      </c>
      <c r="U105" s="23">
        <v>2190.9829678933661</v>
      </c>
      <c r="V105" s="23">
        <v>505.41309567555516</v>
      </c>
      <c r="W105" s="23">
        <v>326.71401888094778</v>
      </c>
      <c r="X105" s="1"/>
      <c r="Y105" s="23">
        <v>-648.9</v>
      </c>
      <c r="Z105" s="23">
        <v>-955.07801582214836</v>
      </c>
      <c r="AA105" s="23">
        <v>-1994.9748680762953</v>
      </c>
      <c r="AB105" s="23">
        <v>-1559.5750036685781</v>
      </c>
    </row>
    <row r="106" spans="2:28" ht="14.25" x14ac:dyDescent="0.2">
      <c r="B106" s="3" t="s">
        <v>16</v>
      </c>
      <c r="C106" s="4" t="s">
        <v>17</v>
      </c>
      <c r="D106" s="3" t="s">
        <v>21</v>
      </c>
      <c r="E106" s="4" t="s">
        <v>22</v>
      </c>
      <c r="F106" s="25">
        <v>26400</v>
      </c>
      <c r="G106" s="23">
        <v>501129.82134465856</v>
      </c>
      <c r="H106" s="23">
        <v>1573959.3521480681</v>
      </c>
      <c r="I106" s="23">
        <v>-11394.008710977663</v>
      </c>
      <c r="J106" s="23">
        <v>706479.02786033507</v>
      </c>
      <c r="K106" s="23">
        <v>551369.0056093568</v>
      </c>
      <c r="L106" s="23">
        <v>85902.591981183563</v>
      </c>
      <c r="M106" s="23">
        <v>111509.31352043514</v>
      </c>
      <c r="N106" s="23">
        <v>231908.92040552522</v>
      </c>
      <c r="O106" s="23">
        <v>13722.279079322809</v>
      </c>
      <c r="P106" s="23">
        <v>19061.080086824521</v>
      </c>
      <c r="Q106" s="23">
        <v>3783647.3833247325</v>
      </c>
      <c r="R106" s="1"/>
      <c r="S106" s="22">
        <v>123604.74549895342</v>
      </c>
      <c r="T106" s="22">
        <v>56721.243047530254</v>
      </c>
      <c r="U106" s="22">
        <v>51582.931859041557</v>
      </c>
      <c r="V106" s="22">
        <v>8590.2482142625777</v>
      </c>
      <c r="W106" s="22">
        <v>10470.831872561941</v>
      </c>
      <c r="X106" s="1"/>
      <c r="Y106" s="22">
        <v>-301542.18</v>
      </c>
      <c r="Z106" s="22">
        <v>-18365.450979842542</v>
      </c>
      <c r="AA106" s="22">
        <v>-33048.211723010565</v>
      </c>
      <c r="AB106" s="22">
        <v>-42032.394148836262</v>
      </c>
    </row>
    <row r="107" spans="2:28" ht="14.25" x14ac:dyDescent="0.2">
      <c r="B107" s="5" t="s">
        <v>16</v>
      </c>
      <c r="C107" s="6" t="s">
        <v>17</v>
      </c>
      <c r="D107" s="5" t="s">
        <v>23</v>
      </c>
      <c r="E107" s="6" t="s">
        <v>24</v>
      </c>
      <c r="F107" s="21">
        <v>6541</v>
      </c>
      <c r="G107" s="22">
        <v>124113.02319204986</v>
      </c>
      <c r="H107" s="22">
        <v>486303.00995659991</v>
      </c>
      <c r="I107" s="22">
        <v>-2884.1139467678813</v>
      </c>
      <c r="J107" s="22">
        <v>180874.98825783361</v>
      </c>
      <c r="K107" s="22">
        <v>204570.49243045144</v>
      </c>
      <c r="L107" s="22">
        <v>22218.642185122535</v>
      </c>
      <c r="M107" s="22">
        <v>49128.535653576211</v>
      </c>
      <c r="N107" s="22">
        <v>70222.674543933565</v>
      </c>
      <c r="O107" s="22">
        <v>3399.902555221609</v>
      </c>
      <c r="P107" s="22">
        <v>6835.0813346882951</v>
      </c>
      <c r="Q107" s="22">
        <v>1144782.2361627091</v>
      </c>
      <c r="R107" s="1"/>
      <c r="S107" s="23">
        <v>38386.83812255026</v>
      </c>
      <c r="T107" s="23">
        <v>14621.283721516797</v>
      </c>
      <c r="U107" s="23">
        <v>17214.552699866508</v>
      </c>
      <c r="V107" s="23">
        <v>2221.8645482761931</v>
      </c>
      <c r="W107" s="23">
        <v>4613.216786412102</v>
      </c>
      <c r="X107" s="1"/>
      <c r="Y107" s="23">
        <v>-2875.25</v>
      </c>
      <c r="Z107" s="23">
        <v>-4635.8402038620661</v>
      </c>
      <c r="AA107" s="23">
        <v>-9014.8578297386721</v>
      </c>
      <c r="AB107" s="23">
        <v>-22077.515066087806</v>
      </c>
    </row>
    <row r="108" spans="2:28" ht="14.25" x14ac:dyDescent="0.2">
      <c r="B108" s="3" t="s">
        <v>16</v>
      </c>
      <c r="C108" s="4" t="s">
        <v>17</v>
      </c>
      <c r="D108" s="3" t="s">
        <v>25</v>
      </c>
      <c r="E108" s="4" t="s">
        <v>26</v>
      </c>
      <c r="F108" s="25">
        <v>1939</v>
      </c>
      <c r="G108" s="23">
        <v>37657.723831352669</v>
      </c>
      <c r="H108" s="23">
        <v>143117.09479038525</v>
      </c>
      <c r="I108" s="23">
        <v>-961.91191970496686</v>
      </c>
      <c r="J108" s="23">
        <v>50260.742559320177</v>
      </c>
      <c r="K108" s="23">
        <v>40679.518513611591</v>
      </c>
      <c r="L108" s="23">
        <v>5796.7028308612526</v>
      </c>
      <c r="M108" s="23">
        <v>8255.2061234558169</v>
      </c>
      <c r="N108" s="23">
        <v>18642.773284508683</v>
      </c>
      <c r="O108" s="23">
        <v>1007.8598157123836</v>
      </c>
      <c r="P108" s="23">
        <v>1354.8421931156613</v>
      </c>
      <c r="Q108" s="23">
        <v>305810.55202261853</v>
      </c>
      <c r="R108" s="1"/>
      <c r="S108" s="22">
        <v>10867.089478098816</v>
      </c>
      <c r="T108" s="22">
        <v>3978.2118043479541</v>
      </c>
      <c r="U108" s="22">
        <v>3797.4720020619138</v>
      </c>
      <c r="V108" s="22">
        <v>579.67039209646748</v>
      </c>
      <c r="W108" s="22">
        <v>775.17180101919394</v>
      </c>
      <c r="X108" s="1"/>
      <c r="Y108" s="22">
        <v>-861.7</v>
      </c>
      <c r="Z108" s="22">
        <v>-1523.9976635724397</v>
      </c>
      <c r="AA108" s="22">
        <v>-2585.0379563642618</v>
      </c>
      <c r="AB108" s="22">
        <v>-3145.4196025270871</v>
      </c>
    </row>
    <row r="109" spans="2:28" ht="14.25" x14ac:dyDescent="0.2">
      <c r="B109" s="5" t="s">
        <v>27</v>
      </c>
      <c r="C109" s="6" t="s">
        <v>24</v>
      </c>
      <c r="D109" s="5" t="s">
        <v>27</v>
      </c>
      <c r="E109" s="6" t="s">
        <v>24</v>
      </c>
      <c r="F109" s="21">
        <v>15596</v>
      </c>
      <c r="G109" s="22">
        <v>276440.1852734781</v>
      </c>
      <c r="H109" s="22">
        <v>52505.391770353635</v>
      </c>
      <c r="I109" s="22">
        <v>-8068.7000632669105</v>
      </c>
      <c r="J109" s="22">
        <v>416738.54724132729</v>
      </c>
      <c r="K109" s="22">
        <v>396608.2297673861</v>
      </c>
      <c r="L109" s="22">
        <v>54153.290087865156</v>
      </c>
      <c r="M109" s="22">
        <v>90307.099770216577</v>
      </c>
      <c r="N109" s="22">
        <v>70226.758415545832</v>
      </c>
      <c r="O109" s="22">
        <v>8106.5403227696406</v>
      </c>
      <c r="P109" s="22">
        <v>13856.522727378095</v>
      </c>
      <c r="Q109" s="22">
        <v>1370873.8653130536</v>
      </c>
      <c r="R109" s="1"/>
      <c r="S109" s="23">
        <v>2367.8459699378386</v>
      </c>
      <c r="T109" s="23">
        <v>33616.084869632723</v>
      </c>
      <c r="U109" s="23">
        <v>34242.827575975258</v>
      </c>
      <c r="V109" s="23">
        <v>5376.59913409612</v>
      </c>
      <c r="W109" s="23">
        <v>8479.9235932819756</v>
      </c>
      <c r="X109" s="1"/>
      <c r="Y109" s="23">
        <v>0</v>
      </c>
      <c r="Z109" s="23">
        <v>-12722.517808977615</v>
      </c>
      <c r="AA109" s="23">
        <v>-25198.065750784754</v>
      </c>
      <c r="AB109" s="23">
        <v>-44429.162530675632</v>
      </c>
    </row>
    <row r="110" spans="2:28" ht="14.25" x14ac:dyDescent="0.2">
      <c r="B110" s="3" t="s">
        <v>28</v>
      </c>
      <c r="C110" s="4" t="s">
        <v>26</v>
      </c>
      <c r="D110" s="3" t="s">
        <v>28</v>
      </c>
      <c r="E110" s="4" t="s">
        <v>26</v>
      </c>
      <c r="F110" s="25">
        <v>25757</v>
      </c>
      <c r="G110" s="23">
        <v>362011.57994899031</v>
      </c>
      <c r="H110" s="23">
        <v>56982.171176486168</v>
      </c>
      <c r="I110" s="23">
        <v>-4983.107227372413</v>
      </c>
      <c r="J110" s="23">
        <v>711452.90076347464</v>
      </c>
      <c r="K110" s="23">
        <v>478384.89193790511</v>
      </c>
      <c r="L110" s="23">
        <v>110394.59439179646</v>
      </c>
      <c r="M110" s="23">
        <v>94250.861094714113</v>
      </c>
      <c r="N110" s="23">
        <v>109135.00724483689</v>
      </c>
      <c r="O110" s="23">
        <v>13388.058418413544</v>
      </c>
      <c r="P110" s="23">
        <v>19821.789362799147</v>
      </c>
      <c r="Q110" s="23">
        <v>1950838.7471120439</v>
      </c>
      <c r="R110" s="1"/>
      <c r="S110" s="22">
        <v>2278.5874990026095</v>
      </c>
      <c r="T110" s="22">
        <v>62246.516541749814</v>
      </c>
      <c r="U110" s="22">
        <v>44609.903204084447</v>
      </c>
      <c r="V110" s="22">
        <v>10971.54278508988</v>
      </c>
      <c r="W110" s="22">
        <v>8850.2465777092657</v>
      </c>
      <c r="X110" s="1"/>
      <c r="Y110" s="22">
        <v>0</v>
      </c>
      <c r="Z110" s="22">
        <v>-9329.8361041721128</v>
      </c>
      <c r="AA110" s="22">
        <v>-40204.775485368722</v>
      </c>
      <c r="AB110" s="22">
        <v>-46707.350342662852</v>
      </c>
    </row>
    <row r="111" spans="2:28" ht="14.25" x14ac:dyDescent="0.2">
      <c r="B111" s="5" t="s">
        <v>29</v>
      </c>
      <c r="C111" s="6" t="s">
        <v>30</v>
      </c>
      <c r="D111" s="5" t="s">
        <v>29</v>
      </c>
      <c r="E111" s="6" t="s">
        <v>30</v>
      </c>
      <c r="F111" s="21">
        <v>22141</v>
      </c>
      <c r="G111" s="22">
        <v>476719.84336382616</v>
      </c>
      <c r="H111" s="22">
        <v>95913.062158487213</v>
      </c>
      <c r="I111" s="22">
        <v>-9595.5917630708245</v>
      </c>
      <c r="J111" s="22">
        <v>489448.65830870619</v>
      </c>
      <c r="K111" s="22">
        <v>566927.14450960886</v>
      </c>
      <c r="L111" s="22">
        <v>45513.623792565355</v>
      </c>
      <c r="M111" s="22">
        <v>128234.36092296656</v>
      </c>
      <c r="N111" s="22">
        <v>90303.768781475737</v>
      </c>
      <c r="O111" s="22">
        <v>11508.522011185087</v>
      </c>
      <c r="P111" s="22">
        <v>16562.340033728935</v>
      </c>
      <c r="Q111" s="22">
        <v>1911535.7321194794</v>
      </c>
      <c r="R111" s="1"/>
      <c r="S111" s="23">
        <v>4794.1621255411201</v>
      </c>
      <c r="T111" s="23">
        <v>36133.111137250868</v>
      </c>
      <c r="U111" s="23">
        <v>49376.49551868374</v>
      </c>
      <c r="V111" s="23">
        <v>4521.0101114194094</v>
      </c>
      <c r="W111" s="23">
        <v>12041.329922309526</v>
      </c>
      <c r="X111" s="1"/>
      <c r="Y111" s="23">
        <v>0</v>
      </c>
      <c r="Z111" s="23">
        <v>-15458.262995126084</v>
      </c>
      <c r="AA111" s="23">
        <v>-37593.455092748052</v>
      </c>
      <c r="AB111" s="23">
        <v>-59303.218189164043</v>
      </c>
    </row>
    <row r="112" spans="2:28" ht="14.25" x14ac:dyDescent="0.2">
      <c r="B112" s="3" t="s">
        <v>31</v>
      </c>
      <c r="C112" s="4" t="s">
        <v>32</v>
      </c>
      <c r="D112" s="3" t="s">
        <v>31</v>
      </c>
      <c r="E112" s="4" t="s">
        <v>33</v>
      </c>
      <c r="F112" s="25">
        <v>23762</v>
      </c>
      <c r="G112" s="23">
        <v>469156.01121723669</v>
      </c>
      <c r="H112" s="23">
        <v>154297.97528093867</v>
      </c>
      <c r="I112" s="23">
        <v>-14544.709402339922</v>
      </c>
      <c r="J112" s="23">
        <v>561498.60526252398</v>
      </c>
      <c r="K112" s="23">
        <v>664076.40926282585</v>
      </c>
      <c r="L112" s="23">
        <v>68809.71713673741</v>
      </c>
      <c r="M112" s="23">
        <v>155122.17598663087</v>
      </c>
      <c r="N112" s="23">
        <v>109701.26802075082</v>
      </c>
      <c r="O112" s="23">
        <v>12351.090737987446</v>
      </c>
      <c r="P112" s="23">
        <v>21312.362449378023</v>
      </c>
      <c r="Q112" s="23">
        <v>2201780.9059526701</v>
      </c>
      <c r="R112" s="1"/>
      <c r="S112" s="22">
        <v>7768.5496395784376</v>
      </c>
      <c r="T112" s="22">
        <v>45266.430953981318</v>
      </c>
      <c r="U112" s="22">
        <v>56666.28742719107</v>
      </c>
      <c r="V112" s="22">
        <v>6746.2408117955592</v>
      </c>
      <c r="W112" s="22">
        <v>14566.121637582462</v>
      </c>
      <c r="X112" s="1"/>
      <c r="Y112" s="22">
        <v>0</v>
      </c>
      <c r="Z112" s="22">
        <v>-22536.322720175736</v>
      </c>
      <c r="AA112" s="22">
        <v>-45389.26455054438</v>
      </c>
      <c r="AB112" s="22">
        <v>-72808.685389462858</v>
      </c>
    </row>
    <row r="113" spans="2:30" ht="14.25" x14ac:dyDescent="0.2">
      <c r="B113" s="5" t="s">
        <v>34</v>
      </c>
      <c r="C113" s="6" t="s">
        <v>35</v>
      </c>
      <c r="D113" s="5" t="s">
        <v>34</v>
      </c>
      <c r="E113" s="6" t="s">
        <v>35</v>
      </c>
      <c r="F113" s="21">
        <v>3216</v>
      </c>
      <c r="G113" s="22">
        <v>108591.3565441727</v>
      </c>
      <c r="H113" s="22">
        <v>18653.388281128216</v>
      </c>
      <c r="I113" s="22">
        <v>-1979.1529472714503</v>
      </c>
      <c r="J113" s="22">
        <v>84776.120823990757</v>
      </c>
      <c r="K113" s="22">
        <v>94237.814856212499</v>
      </c>
      <c r="L113" s="22">
        <v>11650.277548205471</v>
      </c>
      <c r="M113" s="22">
        <v>22110.009849003538</v>
      </c>
      <c r="N113" s="22">
        <v>16129.868145374245</v>
      </c>
      <c r="O113" s="22">
        <v>1671.6230878447789</v>
      </c>
      <c r="P113" s="22">
        <v>3204.3830105994439</v>
      </c>
      <c r="Q113" s="22">
        <v>359045.68919926014</v>
      </c>
      <c r="R113" s="1"/>
      <c r="S113" s="23">
        <v>926.73875599803273</v>
      </c>
      <c r="T113" s="23">
        <v>7136.8515036180634</v>
      </c>
      <c r="U113" s="23">
        <v>8066.2778857581488</v>
      </c>
      <c r="V113" s="23">
        <v>1128.2318038468511</v>
      </c>
      <c r="W113" s="23">
        <v>2076.1512067525928</v>
      </c>
      <c r="X113" s="1"/>
      <c r="Y113" s="23">
        <v>0</v>
      </c>
      <c r="Z113" s="23">
        <v>-3065.0140510487554</v>
      </c>
      <c r="AA113" s="23">
        <v>-7590.8624333786729</v>
      </c>
      <c r="AB113" s="23">
        <v>-9624.6792059003856</v>
      </c>
    </row>
    <row r="114" spans="2:30" ht="14.25" x14ac:dyDescent="0.2">
      <c r="B114" s="7" t="s">
        <v>36</v>
      </c>
      <c r="C114" s="8"/>
      <c r="D114" s="7"/>
      <c r="E114" s="8"/>
      <c r="F114" s="26">
        <v>919975</v>
      </c>
      <c r="G114" s="24">
        <v>13799625.103315094</v>
      </c>
      <c r="H114" s="24">
        <v>5393866.5319999997</v>
      </c>
      <c r="I114" s="24">
        <v>-263995.99999999994</v>
      </c>
      <c r="J114" s="24">
        <v>25882927.520000003</v>
      </c>
      <c r="K114" s="24">
        <v>19805157.159999996</v>
      </c>
      <c r="L114" s="24">
        <v>4577438.9999999991</v>
      </c>
      <c r="M114" s="24">
        <v>4287893</v>
      </c>
      <c r="N114" s="24">
        <v>4337436.5448972052</v>
      </c>
      <c r="O114" s="24">
        <v>478187.64000000007</v>
      </c>
      <c r="P114" s="24">
        <v>854108.17999999982</v>
      </c>
      <c r="Q114" s="24">
        <v>79152644.680212319</v>
      </c>
      <c r="R114" s="1"/>
      <c r="S114" s="24">
        <v>388236.6888972047</v>
      </c>
      <c r="T114" s="24">
        <v>2204786.0050000004</v>
      </c>
      <c r="U114" s="24">
        <v>1744413.8509999996</v>
      </c>
      <c r="V114" s="24">
        <v>451470.90000000014</v>
      </c>
      <c r="W114" s="24">
        <v>402637.27999999997</v>
      </c>
      <c r="X114" s="1"/>
      <c r="Y114" s="24">
        <v>-452127.98</v>
      </c>
      <c r="Z114" s="24">
        <v>-453676.99999999994</v>
      </c>
      <c r="AA114" s="24">
        <v>-1685167.9999999998</v>
      </c>
      <c r="AB114" s="24">
        <v>-2363296</v>
      </c>
      <c r="AD114" s="34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D1A3-5B1F-4A23-8C26-957A4AFE4A23}">
  <sheetPr>
    <pageSetUpPr fitToPage="1"/>
  </sheetPr>
  <dimension ref="B1:M27"/>
  <sheetViews>
    <sheetView showGridLines="0" workbookViewId="0">
      <selection activeCell="K18" sqref="K18"/>
    </sheetView>
  </sheetViews>
  <sheetFormatPr baseColWidth="10" defaultRowHeight="14.25" x14ac:dyDescent="0.2"/>
  <cols>
    <col min="1" max="1" width="4.28515625" style="1" customWidth="1"/>
    <col min="2" max="2" width="3.28515625" style="1" bestFit="1" customWidth="1"/>
    <col min="3" max="3" width="29.5703125" style="1" bestFit="1" customWidth="1"/>
    <col min="4" max="4" width="15.7109375" style="1" bestFit="1" customWidth="1"/>
    <col min="5" max="6" width="15.7109375" style="1" customWidth="1"/>
    <col min="7" max="8" width="15.7109375" style="1" bestFit="1" customWidth="1"/>
    <col min="9" max="9" width="15.7109375" style="1" customWidth="1"/>
    <col min="10" max="10" width="2.140625" style="1" customWidth="1"/>
    <col min="11" max="11" width="56.7109375" style="1" bestFit="1" customWidth="1"/>
    <col min="12" max="13" width="11.42578125" style="38"/>
    <col min="14" max="16384" width="11.42578125" style="1"/>
  </cols>
  <sheetData>
    <row r="1" spans="2:13" x14ac:dyDescent="0.2">
      <c r="C1" s="18"/>
      <c r="D1" s="30"/>
      <c r="E1" s="30"/>
      <c r="F1" s="30"/>
      <c r="G1" s="30"/>
      <c r="H1" s="30"/>
      <c r="I1" s="30"/>
    </row>
    <row r="3" spans="2:13" ht="25.5" x14ac:dyDescent="0.2">
      <c r="B3" s="40" t="s">
        <v>73</v>
      </c>
      <c r="C3" s="16" t="s">
        <v>77</v>
      </c>
      <c r="D3" s="2" t="s">
        <v>37</v>
      </c>
      <c r="E3" s="2" t="s">
        <v>38</v>
      </c>
      <c r="F3" s="2" t="s">
        <v>39</v>
      </c>
      <c r="G3" s="2" t="s">
        <v>106</v>
      </c>
      <c r="H3" s="2" t="s">
        <v>107</v>
      </c>
      <c r="I3" s="2" t="s">
        <v>108</v>
      </c>
      <c r="M3" s="41"/>
    </row>
    <row r="4" spans="2:13" ht="14.25" customHeight="1" x14ac:dyDescent="0.2">
      <c r="C4" s="13" t="s">
        <v>41</v>
      </c>
      <c r="D4" s="17">
        <v>11773</v>
      </c>
      <c r="E4" s="17">
        <f>F4-D4</f>
        <v>4224</v>
      </c>
      <c r="F4" s="17">
        <v>15997</v>
      </c>
      <c r="G4" s="17">
        <f>16024+18</f>
        <v>16042</v>
      </c>
      <c r="H4" s="17">
        <v>16089</v>
      </c>
      <c r="I4" s="17">
        <v>16138</v>
      </c>
      <c r="K4" s="152" t="s">
        <v>122</v>
      </c>
      <c r="L4" s="42"/>
      <c r="M4" s="42"/>
    </row>
    <row r="5" spans="2:13" x14ac:dyDescent="0.2">
      <c r="C5" s="13" t="s">
        <v>40</v>
      </c>
      <c r="D5" s="17">
        <v>317443</v>
      </c>
      <c r="E5" s="17">
        <f t="shared" ref="E5:E7" si="0">F5-D5</f>
        <v>24370</v>
      </c>
      <c r="F5" s="17">
        <v>341813</v>
      </c>
      <c r="G5" s="17">
        <v>343456</v>
      </c>
      <c r="H5" s="17">
        <v>344489</v>
      </c>
      <c r="I5" s="17">
        <v>345524</v>
      </c>
      <c r="K5" s="152"/>
      <c r="L5" s="42"/>
      <c r="M5" s="42"/>
    </row>
    <row r="6" spans="2:13" x14ac:dyDescent="0.2">
      <c r="C6" s="13" t="s">
        <v>42</v>
      </c>
      <c r="D6" s="17">
        <v>28364</v>
      </c>
      <c r="E6" s="17">
        <f t="shared" si="0"/>
        <v>1090</v>
      </c>
      <c r="F6" s="17">
        <v>29454</v>
      </c>
      <c r="G6" s="17">
        <v>29577</v>
      </c>
      <c r="H6" s="17">
        <v>29666</v>
      </c>
      <c r="I6" s="17">
        <v>29755</v>
      </c>
      <c r="K6" s="152"/>
      <c r="L6" s="42"/>
      <c r="M6" s="42"/>
    </row>
    <row r="7" spans="2:13" x14ac:dyDescent="0.2">
      <c r="C7" s="13" t="s">
        <v>43</v>
      </c>
      <c r="D7" s="17">
        <v>149163</v>
      </c>
      <c r="E7" s="17">
        <f t="shared" si="0"/>
        <v>18970</v>
      </c>
      <c r="F7" s="17">
        <v>168133</v>
      </c>
      <c r="G7" s="17">
        <v>178688</v>
      </c>
      <c r="H7" s="17">
        <v>178688</v>
      </c>
      <c r="I7" s="17">
        <v>178688</v>
      </c>
      <c r="K7" s="13" t="s">
        <v>123</v>
      </c>
      <c r="L7" s="43"/>
      <c r="M7" s="43"/>
    </row>
    <row r="9" spans="2:13" ht="25.5" x14ac:dyDescent="0.2">
      <c r="C9" s="16" t="s">
        <v>62</v>
      </c>
      <c r="D9" s="2" t="s">
        <v>37</v>
      </c>
      <c r="E9" s="2" t="s">
        <v>38</v>
      </c>
      <c r="F9" s="2" t="s">
        <v>39</v>
      </c>
      <c r="G9" s="2" t="s">
        <v>106</v>
      </c>
      <c r="H9" s="2" t="s">
        <v>107</v>
      </c>
      <c r="I9" s="2" t="s">
        <v>108</v>
      </c>
    </row>
    <row r="10" spans="2:13" x14ac:dyDescent="0.2">
      <c r="C10" s="13" t="s">
        <v>63</v>
      </c>
      <c r="D10" s="15" t="s">
        <v>68</v>
      </c>
      <c r="E10" s="15" t="s">
        <v>66</v>
      </c>
      <c r="F10" s="15" t="s">
        <v>66</v>
      </c>
      <c r="G10" s="15" t="s">
        <v>67</v>
      </c>
      <c r="H10" s="15" t="s">
        <v>125</v>
      </c>
      <c r="I10" s="15" t="s">
        <v>126</v>
      </c>
    </row>
    <row r="11" spans="2:13" x14ac:dyDescent="0.2">
      <c r="C11" s="13" t="s">
        <v>69</v>
      </c>
      <c r="D11" s="15" t="s">
        <v>70</v>
      </c>
      <c r="E11" s="15" t="s">
        <v>71</v>
      </c>
      <c r="F11" s="15" t="s">
        <v>71</v>
      </c>
      <c r="G11" s="15" t="s">
        <v>72</v>
      </c>
      <c r="H11" s="15" t="s">
        <v>127</v>
      </c>
      <c r="I11" s="15" t="s">
        <v>128</v>
      </c>
    </row>
    <row r="12" spans="2:13" x14ac:dyDescent="0.2">
      <c r="C12" s="13" t="s">
        <v>129</v>
      </c>
      <c r="D12" s="15" t="s">
        <v>118</v>
      </c>
      <c r="E12" s="15" t="s">
        <v>130</v>
      </c>
      <c r="F12" s="15" t="s">
        <v>130</v>
      </c>
      <c r="G12" s="15" t="s">
        <v>131</v>
      </c>
      <c r="H12" s="15" t="s">
        <v>132</v>
      </c>
      <c r="I12" s="15" t="s">
        <v>133</v>
      </c>
    </row>
    <row r="13" spans="2:13" x14ac:dyDescent="0.2">
      <c r="C13" s="13" t="s">
        <v>150</v>
      </c>
      <c r="D13" s="15" t="s">
        <v>172</v>
      </c>
      <c r="E13" s="15" t="s">
        <v>134</v>
      </c>
      <c r="F13" s="15" t="s">
        <v>134</v>
      </c>
      <c r="G13" s="15" t="s">
        <v>135</v>
      </c>
      <c r="H13" s="15" t="s">
        <v>136</v>
      </c>
      <c r="I13" s="15" t="s">
        <v>137</v>
      </c>
    </row>
    <row r="14" spans="2:13" x14ac:dyDescent="0.2">
      <c r="C14" s="13" t="s">
        <v>174</v>
      </c>
      <c r="D14" s="15" t="s">
        <v>173</v>
      </c>
      <c r="E14" s="15" t="s">
        <v>138</v>
      </c>
      <c r="F14" s="15" t="s">
        <v>138</v>
      </c>
      <c r="G14" s="15" t="s">
        <v>139</v>
      </c>
      <c r="H14" s="15" t="s">
        <v>140</v>
      </c>
      <c r="I14" s="15" t="s">
        <v>141</v>
      </c>
    </row>
    <row r="15" spans="2:13" x14ac:dyDescent="0.2">
      <c r="C15" s="13" t="s">
        <v>151</v>
      </c>
      <c r="D15" s="15" t="s">
        <v>176</v>
      </c>
      <c r="E15" s="15" t="s">
        <v>142</v>
      </c>
      <c r="F15" s="15" t="s">
        <v>142</v>
      </c>
      <c r="G15" s="15" t="s">
        <v>143</v>
      </c>
      <c r="H15" s="15" t="s">
        <v>144</v>
      </c>
      <c r="I15" s="15" t="s">
        <v>145</v>
      </c>
    </row>
    <row r="16" spans="2:13" x14ac:dyDescent="0.2">
      <c r="C16" s="13" t="s">
        <v>152</v>
      </c>
      <c r="D16" s="15" t="s">
        <v>175</v>
      </c>
      <c r="E16" s="15" t="s">
        <v>146</v>
      </c>
      <c r="F16" s="15" t="s">
        <v>146</v>
      </c>
      <c r="G16" s="15" t="s">
        <v>147</v>
      </c>
      <c r="H16" s="15" t="s">
        <v>148</v>
      </c>
      <c r="I16" s="15" t="s">
        <v>149</v>
      </c>
    </row>
    <row r="17" spans="2:11" x14ac:dyDescent="0.2">
      <c r="C17" s="13" t="s">
        <v>153</v>
      </c>
      <c r="D17" s="154" t="s">
        <v>177</v>
      </c>
      <c r="E17" s="15" t="s">
        <v>166</v>
      </c>
      <c r="F17" s="15" t="s">
        <v>166</v>
      </c>
      <c r="G17" s="15" t="s">
        <v>165</v>
      </c>
      <c r="H17" s="15" t="s">
        <v>161</v>
      </c>
      <c r="I17" s="15" t="s">
        <v>154</v>
      </c>
    </row>
    <row r="18" spans="2:11" x14ac:dyDescent="0.2">
      <c r="C18" s="13" t="s">
        <v>155</v>
      </c>
      <c r="D18" s="154"/>
      <c r="E18" s="15" t="s">
        <v>170</v>
      </c>
      <c r="F18" s="15" t="s">
        <v>170</v>
      </c>
      <c r="G18" s="15" t="s">
        <v>169</v>
      </c>
      <c r="H18" s="15" t="s">
        <v>163</v>
      </c>
      <c r="I18" s="15" t="s">
        <v>156</v>
      </c>
    </row>
    <row r="19" spans="2:11" x14ac:dyDescent="0.2">
      <c r="C19" s="13" t="s">
        <v>157</v>
      </c>
      <c r="D19" s="154"/>
      <c r="E19" s="15" t="s">
        <v>171</v>
      </c>
      <c r="F19" s="15" t="s">
        <v>171</v>
      </c>
      <c r="G19" s="15" t="s">
        <v>134</v>
      </c>
      <c r="H19" s="15" t="s">
        <v>164</v>
      </c>
      <c r="I19" s="15" t="s">
        <v>158</v>
      </c>
    </row>
    <row r="20" spans="2:11" x14ac:dyDescent="0.2">
      <c r="C20" s="13" t="s">
        <v>159</v>
      </c>
      <c r="D20" s="154"/>
      <c r="E20" s="15" t="s">
        <v>168</v>
      </c>
      <c r="F20" s="15" t="s">
        <v>168</v>
      </c>
      <c r="G20" s="15" t="s">
        <v>167</v>
      </c>
      <c r="H20" s="15" t="s">
        <v>162</v>
      </c>
      <c r="I20" s="15" t="s">
        <v>160</v>
      </c>
    </row>
    <row r="21" spans="2:11" x14ac:dyDescent="0.2">
      <c r="C21" s="13"/>
      <c r="D21" s="15"/>
      <c r="E21" s="15"/>
      <c r="F21" s="15"/>
      <c r="G21" s="15"/>
      <c r="H21" s="15"/>
      <c r="I21" s="15"/>
    </row>
    <row r="22" spans="2:11" x14ac:dyDescent="0.2">
      <c r="C22" s="14"/>
    </row>
    <row r="23" spans="2:11" ht="25.5" x14ac:dyDescent="0.2">
      <c r="B23" s="40" t="s">
        <v>78</v>
      </c>
      <c r="C23" s="2" t="s">
        <v>50</v>
      </c>
      <c r="D23" s="2" t="s">
        <v>37</v>
      </c>
      <c r="E23" s="2" t="s">
        <v>38</v>
      </c>
      <c r="F23" s="2" t="s">
        <v>39</v>
      </c>
      <c r="G23" s="2" t="s">
        <v>106</v>
      </c>
      <c r="H23" s="2" t="s">
        <v>107</v>
      </c>
      <c r="I23" s="2" t="s">
        <v>108</v>
      </c>
    </row>
    <row r="24" spans="2:11" x14ac:dyDescent="0.2">
      <c r="C24" s="13" t="s">
        <v>51</v>
      </c>
      <c r="D24" s="15" t="s">
        <v>52</v>
      </c>
      <c r="E24" s="15" t="s">
        <v>53</v>
      </c>
      <c r="F24" s="15" t="s">
        <v>53</v>
      </c>
      <c r="G24" s="15" t="s">
        <v>65</v>
      </c>
      <c r="H24" s="15" t="s">
        <v>114</v>
      </c>
      <c r="I24" s="15" t="s">
        <v>115</v>
      </c>
      <c r="K24" s="153" t="s">
        <v>124</v>
      </c>
    </row>
    <row r="25" spans="2:11" x14ac:dyDescent="0.2">
      <c r="C25" s="13" t="s">
        <v>54</v>
      </c>
      <c r="D25" s="15" t="s">
        <v>55</v>
      </c>
      <c r="E25" s="15" t="s">
        <v>55</v>
      </c>
      <c r="F25" s="15" t="s">
        <v>55</v>
      </c>
      <c r="G25" s="15" t="s">
        <v>64</v>
      </c>
      <c r="H25" s="15" t="s">
        <v>116</v>
      </c>
      <c r="I25" s="15" t="s">
        <v>117</v>
      </c>
      <c r="K25" s="153"/>
    </row>
    <row r="26" spans="2:11" x14ac:dyDescent="0.2">
      <c r="C26" s="13" t="s">
        <v>56</v>
      </c>
      <c r="D26" s="15" t="s">
        <v>58</v>
      </c>
      <c r="E26" s="15" t="s">
        <v>58</v>
      </c>
      <c r="F26" s="15" t="s">
        <v>58</v>
      </c>
      <c r="G26" s="15" t="s">
        <v>57</v>
      </c>
      <c r="H26" s="15" t="s">
        <v>118</v>
      </c>
      <c r="I26" s="15" t="s">
        <v>119</v>
      </c>
      <c r="K26" s="153"/>
    </row>
    <row r="27" spans="2:11" x14ac:dyDescent="0.2">
      <c r="C27" s="13" t="s">
        <v>59</v>
      </c>
      <c r="D27" s="15" t="s">
        <v>60</v>
      </c>
      <c r="E27" s="15" t="s">
        <v>60</v>
      </c>
      <c r="F27" s="15" t="s">
        <v>60</v>
      </c>
      <c r="G27" s="15" t="s">
        <v>61</v>
      </c>
      <c r="H27" s="15" t="s">
        <v>120</v>
      </c>
      <c r="I27" s="15" t="s">
        <v>121</v>
      </c>
      <c r="K27" s="153"/>
    </row>
  </sheetData>
  <mergeCells count="3">
    <mergeCell ref="K4:K6"/>
    <mergeCell ref="K24:K27"/>
    <mergeCell ref="D17:D20"/>
  </mergeCells>
  <pageMargins left="0.25" right="0.25" top="0.75" bottom="0.75" header="0.3" footer="0.3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8A3F5-3FDD-43B9-A2EA-6D028CDEB10E}">
  <dimension ref="B2:AO43"/>
  <sheetViews>
    <sheetView showGridLines="0" showRowColHeaders="0" topLeftCell="B5" workbookViewId="0">
      <selection sqref="A1:W44"/>
    </sheetView>
  </sheetViews>
  <sheetFormatPr baseColWidth="10" defaultRowHeight="14.25" x14ac:dyDescent="0.2"/>
  <cols>
    <col min="1" max="2" width="11.42578125" style="1"/>
    <col min="3" max="3" width="13.140625" style="1" bestFit="1" customWidth="1"/>
    <col min="4" max="5" width="12.140625" style="1" bestFit="1" customWidth="1"/>
    <col min="6" max="10" width="11.42578125" style="1"/>
    <col min="11" max="11" width="12.140625" style="1" bestFit="1" customWidth="1"/>
    <col min="12" max="20" width="11.42578125" style="1"/>
    <col min="21" max="21" width="17" style="1" bestFit="1" customWidth="1"/>
    <col min="22" max="34" width="11.42578125" style="1"/>
    <col min="35" max="35" width="13.140625" style="1" bestFit="1" customWidth="1"/>
    <col min="36" max="36" width="11.42578125" style="1"/>
    <col min="37" max="37" width="15.5703125" style="1" bestFit="1" customWidth="1"/>
    <col min="38" max="38" width="12.140625" style="1" bestFit="1" customWidth="1"/>
    <col min="39" max="40" width="11.42578125" style="1"/>
    <col min="41" max="41" width="12.140625" style="1" bestFit="1" customWidth="1"/>
    <col min="42" max="16384" width="11.42578125" style="1"/>
  </cols>
  <sheetData>
    <row r="2" spans="2:41" ht="27.75" x14ac:dyDescent="0.4">
      <c r="B2" s="56" t="s">
        <v>207</v>
      </c>
      <c r="F2" s="47"/>
      <c r="G2" s="40" t="s">
        <v>208</v>
      </c>
      <c r="H2" s="57">
        <v>910433</v>
      </c>
      <c r="I2" s="47"/>
    </row>
    <row r="3" spans="2:41" x14ac:dyDescent="0.2">
      <c r="B3" s="1" t="s">
        <v>210</v>
      </c>
      <c r="L3" s="58"/>
      <c r="AH3" s="1" t="s">
        <v>188</v>
      </c>
      <c r="AI3" s="59">
        <f>Contributions!G57</f>
        <v>20048935.191163041</v>
      </c>
      <c r="AJ3" s="155">
        <f>AI3/$H$2</f>
        <v>22.021318637574694</v>
      </c>
      <c r="AK3" s="155"/>
    </row>
    <row r="4" spans="2:41" x14ac:dyDescent="0.2">
      <c r="L4" s="58"/>
      <c r="AI4" s="59"/>
      <c r="AJ4" s="60"/>
      <c r="AK4" s="60"/>
    </row>
    <row r="5" spans="2:41" ht="20.25" x14ac:dyDescent="0.2">
      <c r="B5" s="61"/>
      <c r="C5" s="62" t="s">
        <v>189</v>
      </c>
      <c r="D5" s="156">
        <f>Contributions!Q57</f>
        <v>78889483.707511812</v>
      </c>
      <c r="E5" s="156"/>
      <c r="F5" s="63">
        <f>D5/H2</f>
        <v>86.650509930452671</v>
      </c>
      <c r="L5" s="58"/>
      <c r="AH5" s="1" t="s">
        <v>190</v>
      </c>
      <c r="AI5" s="59">
        <f>Contributions!H57</f>
        <v>5630934.1598922526</v>
      </c>
      <c r="AJ5" s="155">
        <f t="shared" ref="AJ5:AJ8" si="0">AI5/$H$2</f>
        <v>6.1848968127168638</v>
      </c>
      <c r="AK5" s="155"/>
    </row>
    <row r="6" spans="2:41" x14ac:dyDescent="0.2">
      <c r="AH6" s="1" t="s">
        <v>191</v>
      </c>
      <c r="AI6" s="59">
        <f>Contributions!I57+Contributions!J57</f>
        <v>25500593.934396733</v>
      </c>
      <c r="AJ6" s="155">
        <f t="shared" si="0"/>
        <v>28.009303193531796</v>
      </c>
      <c r="AK6" s="155"/>
    </row>
    <row r="7" spans="2:41" ht="15" customHeight="1" x14ac:dyDescent="0.2">
      <c r="AH7" s="1" t="s">
        <v>192</v>
      </c>
      <c r="AI7" s="59">
        <f>Contributions!K57</f>
        <v>16992768.340935986</v>
      </c>
      <c r="AJ7" s="155">
        <f t="shared" si="0"/>
        <v>18.664490787280322</v>
      </c>
      <c r="AK7" s="155"/>
    </row>
    <row r="8" spans="2:41" x14ac:dyDescent="0.2">
      <c r="AH8" s="1" t="s">
        <v>193</v>
      </c>
      <c r="AI8" s="59">
        <f>Contributions!L57+Contributions!M57+Contributions!N57+Contributions!O57+Contributions!P57</f>
        <v>10716252.08112378</v>
      </c>
      <c r="AJ8" s="155">
        <f t="shared" si="0"/>
        <v>11.770500499348969</v>
      </c>
      <c r="AK8" s="155"/>
    </row>
    <row r="9" spans="2:41" x14ac:dyDescent="0.2">
      <c r="AI9" s="59"/>
    </row>
    <row r="10" spans="2:41" x14ac:dyDescent="0.2">
      <c r="AH10" s="1" t="s">
        <v>191</v>
      </c>
      <c r="AI10" s="59">
        <f>Contributions!L57+Contributions!T57</f>
        <v>4582386.9801566573</v>
      </c>
      <c r="AJ10" s="75" t="s">
        <v>209</v>
      </c>
    </row>
    <row r="11" spans="2:41" x14ac:dyDescent="0.2">
      <c r="AH11" s="1" t="s">
        <v>192</v>
      </c>
      <c r="AI11" s="59">
        <f>Contributions!M57+Contributions!U57</f>
        <v>2983771.0380935986</v>
      </c>
      <c r="AJ11" s="75" t="s">
        <v>209</v>
      </c>
    </row>
    <row r="12" spans="2:41" x14ac:dyDescent="0.2">
      <c r="AH12" s="1" t="s">
        <v>188</v>
      </c>
      <c r="AI12" s="59">
        <f>Contributions!O57</f>
        <v>2197031.7791163046</v>
      </c>
      <c r="AJ12" s="75" t="s">
        <v>48</v>
      </c>
    </row>
    <row r="13" spans="2:41" ht="15" customHeight="1" x14ac:dyDescent="0.2">
      <c r="AL13" s="30" t="s">
        <v>194</v>
      </c>
      <c r="AO13" s="30" t="s">
        <v>48</v>
      </c>
    </row>
    <row r="14" spans="2:41" x14ac:dyDescent="0.2">
      <c r="AH14" s="64" t="s">
        <v>194</v>
      </c>
      <c r="AI14" s="76">
        <f>Contributions!L57+Contributions!M57</f>
        <v>4339835.3111237809</v>
      </c>
      <c r="AJ14" s="65"/>
      <c r="AK14" s="1" t="s">
        <v>46</v>
      </c>
      <c r="AL14" s="80">
        <f>Contributions!L57</f>
        <v>2519131.3511237809</v>
      </c>
      <c r="AN14" s="1" t="s">
        <v>188</v>
      </c>
      <c r="AO14" s="78">
        <f>Contributions!O57</f>
        <v>2197031.7791163046</v>
      </c>
    </row>
    <row r="15" spans="2:41" x14ac:dyDescent="0.2">
      <c r="AH15" s="64" t="s">
        <v>48</v>
      </c>
      <c r="AI15" s="77">
        <f>Contributions!N57+Contributions!O57+Contributions!P57</f>
        <v>6376416.7699999996</v>
      </c>
      <c r="AJ15" s="65"/>
      <c r="AK15" s="1" t="s">
        <v>47</v>
      </c>
      <c r="AL15" s="81">
        <f>Contributions!M57</f>
        <v>1820703.96</v>
      </c>
      <c r="AN15" s="1" t="s">
        <v>190</v>
      </c>
      <c r="AO15" s="78">
        <f>Contributions!S57</f>
        <v>521952.25039602292</v>
      </c>
    </row>
    <row r="16" spans="2:41" x14ac:dyDescent="0.2">
      <c r="AI16" s="59">
        <f>SUM(AI14:AJ15)</f>
        <v>10716252.08112378</v>
      </c>
      <c r="AJ16" s="66"/>
      <c r="AL16" s="82">
        <f>AL14+AL15</f>
        <v>4339835.3111237809</v>
      </c>
      <c r="AN16" s="1" t="s">
        <v>191</v>
      </c>
      <c r="AO16" s="78">
        <f>Contributions!T57</f>
        <v>2063255.6290328763</v>
      </c>
    </row>
    <row r="17" spans="17:41" x14ac:dyDescent="0.2">
      <c r="AN17" s="1" t="s">
        <v>192</v>
      </c>
      <c r="AO17" s="78">
        <f>Contributions!U57</f>
        <v>1163067.0780935988</v>
      </c>
    </row>
    <row r="18" spans="17:41" ht="16.5" x14ac:dyDescent="0.35">
      <c r="AJ18" s="67"/>
      <c r="AN18" s="1" t="s">
        <v>194</v>
      </c>
      <c r="AO18" s="79">
        <f>Contributions!V57+Contributions!W57</f>
        <v>431110.00311237801</v>
      </c>
    </row>
    <row r="19" spans="17:41" x14ac:dyDescent="0.2">
      <c r="AJ19" s="67"/>
      <c r="AO19" s="78">
        <f>AO14+AO15+AO16+AO17+AO18</f>
        <v>6376416.7397511797</v>
      </c>
    </row>
    <row r="20" spans="17:41" ht="15" customHeight="1" x14ac:dyDescent="0.2">
      <c r="AH20" s="64" t="s">
        <v>195</v>
      </c>
      <c r="AI20" s="68">
        <f>4474984+3050778+879778.79+141785</f>
        <v>8547325.7899999991</v>
      </c>
    </row>
    <row r="21" spans="17:41" ht="15" customHeight="1" x14ac:dyDescent="0.2">
      <c r="AH21" s="64" t="s">
        <v>196</v>
      </c>
      <c r="AI21" s="69">
        <f>5652032</f>
        <v>5652032</v>
      </c>
    </row>
    <row r="22" spans="17:41" x14ac:dyDescent="0.2">
      <c r="AH22" s="64" t="s">
        <v>74</v>
      </c>
      <c r="AI22" s="67">
        <f>2097571+700000+145226</f>
        <v>2942797</v>
      </c>
    </row>
    <row r="23" spans="17:41" x14ac:dyDescent="0.2">
      <c r="AH23" s="64" t="s">
        <v>197</v>
      </c>
      <c r="AI23" s="67">
        <v>2622075</v>
      </c>
    </row>
    <row r="24" spans="17:41" x14ac:dyDescent="0.2">
      <c r="AH24" s="64" t="s">
        <v>198</v>
      </c>
      <c r="AI24" s="67">
        <f>269705+15000</f>
        <v>284705</v>
      </c>
    </row>
    <row r="25" spans="17:41" x14ac:dyDescent="0.2">
      <c r="AI25" s="59">
        <f>SUM(AI20:AI24)</f>
        <v>20048934.789999999</v>
      </c>
      <c r="AK25" s="59">
        <f>Contributions!G57</f>
        <v>20048935.191163041</v>
      </c>
    </row>
    <row r="28" spans="17:41" x14ac:dyDescent="0.2">
      <c r="AH28" s="64" t="s">
        <v>199</v>
      </c>
      <c r="AI28" s="67">
        <f>54215*2</f>
        <v>108430</v>
      </c>
      <c r="AJ28" s="67"/>
    </row>
    <row r="29" spans="17:41" x14ac:dyDescent="0.2">
      <c r="AH29" s="64" t="s">
        <v>200</v>
      </c>
      <c r="AI29" s="67">
        <f>215035*2</f>
        <v>430070</v>
      </c>
      <c r="AJ29" s="67"/>
    </row>
    <row r="30" spans="17:41" x14ac:dyDescent="0.2">
      <c r="AH30" s="64" t="s">
        <v>201</v>
      </c>
      <c r="AI30" s="70">
        <f>2546217*2</f>
        <v>5092434</v>
      </c>
      <c r="AJ30" s="71"/>
    </row>
    <row r="31" spans="17:41" x14ac:dyDescent="0.2">
      <c r="Q31" s="72"/>
      <c r="AI31" s="71">
        <f>SUM(AI28:AJ30)</f>
        <v>5630934</v>
      </c>
      <c r="AJ31" s="71"/>
      <c r="AK31" s="83">
        <f>Contributions!H57</f>
        <v>5630934.1598922526</v>
      </c>
    </row>
    <row r="32" spans="17:41" x14ac:dyDescent="0.2">
      <c r="Q32" s="72"/>
    </row>
    <row r="33" spans="17:38" x14ac:dyDescent="0.2">
      <c r="Q33" s="72"/>
      <c r="AH33" s="64" t="s">
        <v>202</v>
      </c>
      <c r="AI33" s="67">
        <f>(1889998*2)+(148240*2)</f>
        <v>4076476</v>
      </c>
      <c r="AJ33" s="64"/>
    </row>
    <row r="34" spans="17:38" x14ac:dyDescent="0.2">
      <c r="AH34" s="64" t="s">
        <v>203</v>
      </c>
      <c r="AI34" s="67">
        <f>(2072444*2)+(163695*2)</f>
        <v>4472278</v>
      </c>
      <c r="AJ34" s="64"/>
    </row>
    <row r="35" spans="17:38" ht="15" customHeight="1" x14ac:dyDescent="0.2">
      <c r="AH35" s="64" t="s">
        <v>204</v>
      </c>
      <c r="AI35" s="67">
        <f>4692974*2+892986+9129</f>
        <v>10288063</v>
      </c>
      <c r="AJ35" s="64"/>
    </row>
    <row r="36" spans="17:38" x14ac:dyDescent="0.2">
      <c r="AH36" s="64" t="s">
        <v>205</v>
      </c>
      <c r="AI36" s="70">
        <f>Contributions!AB57</f>
        <v>-1844048.9900000002</v>
      </c>
      <c r="AJ36" s="64"/>
    </row>
    <row r="37" spans="17:38" x14ac:dyDescent="0.2">
      <c r="AH37" s="64"/>
      <c r="AI37" s="67">
        <f>SUM(AI33:AJ36)</f>
        <v>16992768.009999998</v>
      </c>
      <c r="AJ37" s="64"/>
      <c r="AK37" s="83">
        <f>Contributions!K57</f>
        <v>16992768.340935986</v>
      </c>
      <c r="AL37" s="59"/>
    </row>
    <row r="39" spans="17:38" x14ac:dyDescent="0.2">
      <c r="AG39" s="73"/>
      <c r="AH39" s="64" t="s">
        <v>206</v>
      </c>
      <c r="AI39" s="67">
        <f>1321730*2-777315</f>
        <v>1866145</v>
      </c>
    </row>
    <row r="40" spans="17:38" x14ac:dyDescent="0.2">
      <c r="AG40" s="73"/>
      <c r="AH40" s="64" t="s">
        <v>204</v>
      </c>
      <c r="AI40" s="67">
        <f>(11982178*2)+(216163*2)</f>
        <v>24396682</v>
      </c>
    </row>
    <row r="41" spans="17:38" x14ac:dyDescent="0.2">
      <c r="AG41" s="73"/>
      <c r="AH41" s="64" t="s">
        <v>205</v>
      </c>
      <c r="AI41" s="70">
        <f>-490666*2-150135-12908-140539</f>
        <v>-1284914</v>
      </c>
    </row>
    <row r="42" spans="17:38" x14ac:dyDescent="0.2">
      <c r="AG42" s="74"/>
      <c r="AH42" s="64"/>
      <c r="AI42" s="67">
        <f>SUM(AI39:AI41)</f>
        <v>24977913</v>
      </c>
      <c r="AK42" s="59">
        <f>Contributions!J57</f>
        <v>24977912.870328758</v>
      </c>
    </row>
    <row r="43" spans="17:38" x14ac:dyDescent="0.2">
      <c r="AG43" s="74"/>
    </row>
  </sheetData>
  <sortState xmlns:xlrd2="http://schemas.microsoft.com/office/spreadsheetml/2017/richdata2" ref="AH20:AI24">
    <sortCondition descending="1" ref="AI20:AI24"/>
  </sortState>
  <mergeCells count="6">
    <mergeCell ref="AJ8:AK8"/>
    <mergeCell ref="AJ3:AK3"/>
    <mergeCell ref="D5:E5"/>
    <mergeCell ref="AJ5:AK5"/>
    <mergeCell ref="AJ6:AK6"/>
    <mergeCell ref="AJ7:AK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ElémentsTechniques</vt:lpstr>
      <vt:lpstr>Comparatif</vt:lpstr>
      <vt:lpstr>Visuels</vt:lpstr>
      <vt:lpstr>Cartes</vt:lpstr>
      <vt:lpstr>Contributions</vt:lpstr>
      <vt:lpstr>Les Variables</vt:lpstr>
      <vt:lpstr>2021</vt:lpstr>
      <vt:lpstr>Comparatif!Zone_d_impression</vt:lpstr>
      <vt:lpstr>ElémentsTechniques!Zone_d_impression</vt:lpstr>
      <vt:lpstr>'Les Variables'!Zone_d_impression</vt:lpstr>
      <vt:lpstr>Visuels!Zone_d_impression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Patrice</dc:creator>
  <cp:lastModifiedBy>Bruno Patrice</cp:lastModifiedBy>
  <cp:lastPrinted>2021-11-12T13:01:57Z</cp:lastPrinted>
  <dcterms:created xsi:type="dcterms:W3CDTF">2021-10-19T06:14:45Z</dcterms:created>
  <dcterms:modified xsi:type="dcterms:W3CDTF">2021-11-19T14:47:36Z</dcterms:modified>
</cp:coreProperties>
</file>